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4 - Metrics\"/>
    </mc:Choice>
  </mc:AlternateContent>
  <xr:revisionPtr revIDLastSave="0" documentId="13_ncr:1_{9F82F0A3-36FC-4505-A04E-801D456FF0C7}" xr6:coauthVersionLast="47" xr6:coauthVersionMax="47" xr10:uidLastSave="{00000000-0000-0000-0000-000000000000}"/>
  <bookViews>
    <workbookView xWindow="-28920" yWindow="3240" windowWidth="29040" windowHeight="15720" xr2:uid="{00000000-000D-0000-FFFF-FFFF00000000}"/>
  </bookViews>
  <sheets>
    <sheet name="Cash Curve 1 month lag" sheetId="4" r:id="rId1"/>
    <sheet name="Cash Curve 4 month lag" sheetId="5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0" i="4" l="1"/>
  <c r="C20" i="4" l="1"/>
  <c r="F21" i="4"/>
  <c r="J21" i="4"/>
  <c r="Q31" i="5"/>
  <c r="Q37" i="5" s="1"/>
  <c r="F30" i="5"/>
  <c r="G30" i="5"/>
  <c r="H30" i="5"/>
  <c r="I30" i="5"/>
  <c r="J30" i="5"/>
  <c r="K30" i="5"/>
  <c r="L30" i="5"/>
  <c r="M30" i="5"/>
  <c r="N30" i="5"/>
  <c r="O30" i="5"/>
  <c r="P30" i="5"/>
  <c r="Q30" i="5"/>
  <c r="F31" i="5"/>
  <c r="G31" i="5"/>
  <c r="H31" i="5"/>
  <c r="I31" i="5"/>
  <c r="I26" i="5" s="1"/>
  <c r="J31" i="5"/>
  <c r="K31" i="5"/>
  <c r="L31" i="5"/>
  <c r="M31" i="5"/>
  <c r="N31" i="5"/>
  <c r="O31" i="5"/>
  <c r="P31" i="5"/>
  <c r="P26" i="5" s="1"/>
  <c r="F32" i="5"/>
  <c r="G32" i="5"/>
  <c r="H32" i="5"/>
  <c r="M32" i="5"/>
  <c r="N32" i="5"/>
  <c r="O32" i="5"/>
  <c r="P32" i="5"/>
  <c r="Q32" i="5"/>
  <c r="C37" i="5"/>
  <c r="Q34" i="5"/>
  <c r="P34" i="5"/>
  <c r="O34" i="5"/>
  <c r="N34" i="5"/>
  <c r="M34" i="5"/>
  <c r="L34" i="5"/>
  <c r="K34" i="5"/>
  <c r="J34" i="5"/>
  <c r="H34" i="5"/>
  <c r="G34" i="5"/>
  <c r="F34" i="5"/>
  <c r="E34" i="5"/>
  <c r="D34" i="5"/>
  <c r="Q33" i="5"/>
  <c r="H33" i="5"/>
  <c r="G33" i="5"/>
  <c r="F33" i="5"/>
  <c r="E33" i="5"/>
  <c r="D33" i="5"/>
  <c r="E32" i="5"/>
  <c r="A32" i="5"/>
  <c r="A31" i="5"/>
  <c r="O26" i="5" s="1"/>
  <c r="Z30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20" i="5"/>
  <c r="M26" i="5"/>
  <c r="A19" i="5"/>
  <c r="L26" i="5" s="1"/>
  <c r="C13" i="5"/>
  <c r="E11" i="5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D11" i="5"/>
  <c r="N32" i="4"/>
  <c r="M32" i="4"/>
  <c r="L32" i="4"/>
  <c r="J32" i="4"/>
  <c r="O31" i="4"/>
  <c r="N20" i="4" s="1"/>
  <c r="N31" i="4"/>
  <c r="M20" i="4" s="1"/>
  <c r="M31" i="4"/>
  <c r="L20" i="4" s="1"/>
  <c r="L31" i="4"/>
  <c r="K20" i="4" s="1"/>
  <c r="K31" i="4"/>
  <c r="J20" i="4" s="1"/>
  <c r="J31" i="4"/>
  <c r="I20" i="4" s="1"/>
  <c r="I31" i="4"/>
  <c r="H20" i="4" s="1"/>
  <c r="H31" i="4"/>
  <c r="G20" i="4" s="1"/>
  <c r="G31" i="4"/>
  <c r="F20" i="4" s="1"/>
  <c r="F31" i="4"/>
  <c r="E20" i="4" s="1"/>
  <c r="E31" i="4"/>
  <c r="D20" i="4" s="1"/>
  <c r="C25" i="4"/>
  <c r="D25" i="4"/>
  <c r="E25" i="4"/>
  <c r="F25" i="4"/>
  <c r="G25" i="4"/>
  <c r="H25" i="4"/>
  <c r="I25" i="4"/>
  <c r="J34" i="4"/>
  <c r="K34" i="4"/>
  <c r="L34" i="4"/>
  <c r="M34" i="4"/>
  <c r="N34" i="4"/>
  <c r="O34" i="4"/>
  <c r="P34" i="4"/>
  <c r="Z30" i="4"/>
  <c r="A32" i="4"/>
  <c r="A19" i="4"/>
  <c r="C19" i="4" s="1"/>
  <c r="A20" i="4"/>
  <c r="A31" i="4" s="1"/>
  <c r="P31" i="4" s="1"/>
  <c r="A30" i="4" l="1"/>
  <c r="M30" i="4" s="1"/>
  <c r="N19" i="4"/>
  <c r="K32" i="4"/>
  <c r="G32" i="4"/>
  <c r="G19" i="4"/>
  <c r="I19" i="4"/>
  <c r="F19" i="4"/>
  <c r="F30" i="4"/>
  <c r="N30" i="4"/>
  <c r="H19" i="4"/>
  <c r="O30" i="4"/>
  <c r="M19" i="4"/>
  <c r="E19" i="4"/>
  <c r="J30" i="4"/>
  <c r="I30" i="4"/>
  <c r="L19" i="4"/>
  <c r="D19" i="4"/>
  <c r="K30" i="4"/>
  <c r="K19" i="4"/>
  <c r="D30" i="4"/>
  <c r="L30" i="4"/>
  <c r="H30" i="4"/>
  <c r="J19" i="4"/>
  <c r="E30" i="4"/>
  <c r="E26" i="5"/>
  <c r="Q26" i="5"/>
  <c r="P37" i="5"/>
  <c r="P14" i="5" s="1"/>
  <c r="N26" i="5"/>
  <c r="F26" i="5"/>
  <c r="G26" i="5"/>
  <c r="Q14" i="5"/>
  <c r="A26" i="5"/>
  <c r="A30" i="5"/>
  <c r="H26" i="5"/>
  <c r="J26" i="5"/>
  <c r="C26" i="5"/>
  <c r="C12" i="5" s="1"/>
  <c r="K26" i="5"/>
  <c r="D26" i="5"/>
  <c r="O20" i="4"/>
  <c r="G30" i="4" l="1"/>
  <c r="H37" i="5"/>
  <c r="H14" i="5" s="1"/>
  <c r="F37" i="5"/>
  <c r="F14" i="5" s="1"/>
  <c r="E37" i="5"/>
  <c r="E14" i="5" s="1"/>
  <c r="O37" i="5"/>
  <c r="O14" i="5" s="1"/>
  <c r="G37" i="5"/>
  <c r="G14" i="5" s="1"/>
  <c r="N37" i="5"/>
  <c r="N14" i="5" s="1"/>
  <c r="M37" i="5"/>
  <c r="M14" i="5" s="1"/>
  <c r="I37" i="5"/>
  <c r="I14" i="5" s="1"/>
  <c r="L37" i="5"/>
  <c r="L14" i="5" s="1"/>
  <c r="D37" i="5"/>
  <c r="K37" i="5"/>
  <c r="K14" i="5" s="1"/>
  <c r="J37" i="5"/>
  <c r="J14" i="5" s="1"/>
  <c r="D12" i="5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C14" i="5"/>
  <c r="C15" i="5"/>
  <c r="D14" i="5" l="1"/>
  <c r="A37" i="5"/>
  <c r="D13" i="5"/>
  <c r="D15" i="5" l="1"/>
  <c r="E13" i="5"/>
  <c r="F13" i="5" l="1"/>
  <c r="E15" i="5"/>
  <c r="F15" i="5" l="1"/>
  <c r="G13" i="5"/>
  <c r="H13" i="5" l="1"/>
  <c r="G15" i="5"/>
  <c r="I13" i="5" l="1"/>
  <c r="H15" i="5"/>
  <c r="J13" i="5" l="1"/>
  <c r="I15" i="5"/>
  <c r="J15" i="5" l="1"/>
  <c r="K13" i="5"/>
  <c r="K15" i="5" l="1"/>
  <c r="L13" i="5"/>
  <c r="L15" i="5" l="1"/>
  <c r="M13" i="5"/>
  <c r="M15" i="5" l="1"/>
  <c r="N13" i="5"/>
  <c r="O13" i="5" l="1"/>
  <c r="N15" i="5"/>
  <c r="P13" i="5" l="1"/>
  <c r="O15" i="5"/>
  <c r="Q13" i="5" l="1"/>
  <c r="Q15" i="5" s="1"/>
  <c r="P15" i="5"/>
  <c r="C37" i="4" l="1"/>
  <c r="C13" i="4" s="1"/>
  <c r="Q34" i="4"/>
  <c r="H34" i="4"/>
  <c r="G34" i="4"/>
  <c r="F34" i="4"/>
  <c r="E34" i="4"/>
  <c r="D34" i="4"/>
  <c r="Q33" i="4"/>
  <c r="H33" i="4"/>
  <c r="G33" i="4"/>
  <c r="F33" i="4"/>
  <c r="E33" i="4"/>
  <c r="D33" i="4"/>
  <c r="P32" i="4"/>
  <c r="O32" i="4"/>
  <c r="P25" i="4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E37" i="4" l="1"/>
  <c r="D37" i="4"/>
  <c r="L25" i="4"/>
  <c r="M25" i="4"/>
  <c r="O25" i="4"/>
  <c r="K25" i="4"/>
  <c r="N25" i="4"/>
  <c r="J25" i="4"/>
  <c r="D13" i="4" l="1"/>
  <c r="E13" i="4" s="1"/>
  <c r="I37" i="4"/>
  <c r="M37" i="4"/>
  <c r="Q37" i="4"/>
  <c r="J37" i="4"/>
  <c r="F37" i="4"/>
  <c r="G37" i="4"/>
  <c r="K37" i="4"/>
  <c r="H37" i="4"/>
  <c r="L37" i="4"/>
  <c r="P37" i="4"/>
  <c r="N26" i="4"/>
  <c r="J26" i="4"/>
  <c r="F26" i="4"/>
  <c r="Q26" i="4"/>
  <c r="M26" i="4"/>
  <c r="I26" i="4"/>
  <c r="E26" i="4"/>
  <c r="E14" i="4" s="1"/>
  <c r="D26" i="4"/>
  <c r="D14" i="4" s="1"/>
  <c r="K26" i="4"/>
  <c r="C26" i="4"/>
  <c r="P26" i="4"/>
  <c r="H26" i="4"/>
  <c r="O26" i="4"/>
  <c r="G26" i="4"/>
  <c r="A26" i="4"/>
  <c r="N37" i="4" l="1"/>
  <c r="N14" i="4" s="1"/>
  <c r="P14" i="4"/>
  <c r="J14" i="4"/>
  <c r="M14" i="4"/>
  <c r="K14" i="4"/>
  <c r="G14" i="4"/>
  <c r="O37" i="4"/>
  <c r="O14" i="4" s="1"/>
  <c r="Q14" i="4"/>
  <c r="H14" i="4"/>
  <c r="F14" i="4"/>
  <c r="F13" i="4"/>
  <c r="G13" i="4" s="1"/>
  <c r="H13" i="4" s="1"/>
  <c r="I13" i="4" s="1"/>
  <c r="J13" i="4" s="1"/>
  <c r="K13" i="4" s="1"/>
  <c r="L13" i="4" s="1"/>
  <c r="M13" i="4" s="1"/>
  <c r="I14" i="4"/>
  <c r="C12" i="4"/>
  <c r="C14" i="4"/>
  <c r="L26" i="4"/>
  <c r="L14" i="4" s="1"/>
  <c r="N13" i="4" l="1"/>
  <c r="O13" i="4" s="1"/>
  <c r="P13" i="4" s="1"/>
  <c r="Q13" i="4" s="1"/>
  <c r="A37" i="4"/>
  <c r="D12" i="4"/>
  <c r="C15" i="4"/>
  <c r="E12" i="4" l="1"/>
  <c r="D15" i="4"/>
  <c r="F12" i="4" l="1"/>
  <c r="E15" i="4"/>
  <c r="G12" i="4" l="1"/>
  <c r="F15" i="4"/>
  <c r="H12" i="4" l="1"/>
  <c r="G15" i="4"/>
  <c r="I12" i="4" l="1"/>
  <c r="H15" i="4"/>
  <c r="J12" i="4" l="1"/>
  <c r="I15" i="4"/>
  <c r="K12" i="4" l="1"/>
  <c r="J15" i="4"/>
  <c r="L12" i="4" l="1"/>
  <c r="K15" i="4"/>
  <c r="M12" i="4" l="1"/>
  <c r="L15" i="4"/>
  <c r="N12" i="4" l="1"/>
  <c r="M15" i="4"/>
  <c r="O12" i="4" l="1"/>
  <c r="N15" i="4"/>
  <c r="P12" i="4" l="1"/>
  <c r="O15" i="4"/>
  <c r="Q12" i="4" l="1"/>
  <c r="P15" i="4"/>
  <c r="Q15" i="4" l="1"/>
</calcChain>
</file>

<file path=xl/sharedStrings.xml><?xml version="1.0" encoding="utf-8"?>
<sst xmlns="http://schemas.openxmlformats.org/spreadsheetml/2006/main" count="40" uniqueCount="19">
  <si>
    <t>Time</t>
  </si>
  <si>
    <t>Cum Cost</t>
  </si>
  <si>
    <t xml:space="preserve">Total </t>
  </si>
  <si>
    <t>Cash Position</t>
  </si>
  <si>
    <t>Pre-Construction</t>
  </si>
  <si>
    <t>Closeout</t>
  </si>
  <si>
    <t>Direct PRICE</t>
  </si>
  <si>
    <t>Indirect PRICE</t>
  </si>
  <si>
    <t>Cum Revenue</t>
  </si>
  <si>
    <t>Monthly Cash Flow</t>
  </si>
  <si>
    <t>Indirect COST</t>
  </si>
  <si>
    <t>Direct COST</t>
  </si>
  <si>
    <t>Spent (cost)</t>
  </si>
  <si>
    <t>Paid (price)</t>
  </si>
  <si>
    <t>Post Closeout</t>
  </si>
  <si>
    <t>Joist &amp; Decking PO</t>
  </si>
  <si>
    <t>Construction</t>
  </si>
  <si>
    <r>
      <rPr>
        <u/>
        <sz val="11"/>
        <color theme="1"/>
        <rFont val="Calibri"/>
        <family val="2"/>
        <scheme val="minor"/>
      </rPr>
      <t>Assumptions</t>
    </r>
    <r>
      <rPr>
        <sz val="11"/>
        <color theme="1"/>
        <rFont val="Calibri"/>
        <family val="2"/>
        <scheme val="minor"/>
      </rPr>
      <t xml:space="preserve">
- All items are paid 30 days after the owner is billed 
- ALL of these costs can be billed as they occur
</t>
    </r>
  </si>
  <si>
    <r>
      <rPr>
        <u/>
        <sz val="11"/>
        <color theme="1"/>
        <rFont val="Calibri"/>
        <family val="2"/>
        <scheme val="minor"/>
      </rPr>
      <t>Assumptions</t>
    </r>
    <r>
      <rPr>
        <sz val="11"/>
        <color theme="1"/>
        <rFont val="Calibri"/>
        <family val="2"/>
        <scheme val="minor"/>
      </rPr>
      <t xml:space="preserve">
- All items are paid 120 days after the owner is billed 
- ALL of these costs can be billed as they occur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</si>
</sst>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10" fontId="2" fillId="0" borderId="0" xfId="2" applyNumberFormat="1" applyFont="1"/>
    <xf numFmtId="10" fontId="2" fillId="0" borderId="0" xfId="2" applyNumberFormat="1" applyFont="1" applyBorder="1"/>
    <xf numFmtId="44" fontId="2" fillId="0" borderId="0" xfId="1" applyFont="1"/>
    <xf numFmtId="44" fontId="2" fillId="0" borderId="0" xfId="0" applyNumberFormat="1" applyFont="1"/>
    <xf numFmtId="164" fontId="2" fillId="0" borderId="0" xfId="3" applyNumberFormat="1" applyFont="1"/>
    <xf numFmtId="0" fontId="3" fillId="4" borderId="0" xfId="0" applyFont="1" applyFill="1"/>
    <xf numFmtId="44" fontId="5" fillId="0" borderId="0" xfId="1" applyFont="1"/>
    <xf numFmtId="0" fontId="3" fillId="0" borderId="0" xfId="0" applyFont="1"/>
    <xf numFmtId="44" fontId="3" fillId="0" borderId="0" xfId="0" applyNumberFormat="1" applyFont="1"/>
    <xf numFmtId="165" fontId="3" fillId="4" borderId="0" xfId="1" applyNumberFormat="1" applyFont="1" applyFill="1"/>
    <xf numFmtId="0" fontId="2" fillId="0" borderId="8" xfId="0" applyFont="1" applyBorder="1"/>
    <xf numFmtId="0" fontId="2" fillId="0" borderId="6" xfId="0" applyFont="1" applyBorder="1"/>
    <xf numFmtId="17" fontId="2" fillId="0" borderId="1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9" xfId="0" applyFont="1" applyBorder="1"/>
    <xf numFmtId="44" fontId="3" fillId="0" borderId="9" xfId="1" applyFont="1" applyBorder="1"/>
    <xf numFmtId="0" fontId="2" fillId="0" borderId="13" xfId="0" applyFont="1" applyBorder="1"/>
    <xf numFmtId="165" fontId="2" fillId="0" borderId="6" xfId="1" applyNumberFormat="1" applyFont="1" applyBorder="1"/>
    <xf numFmtId="165" fontId="2" fillId="0" borderId="4" xfId="1" applyNumberFormat="1" applyFont="1" applyBorder="1"/>
    <xf numFmtId="165" fontId="2" fillId="0" borderId="9" xfId="1" applyNumberFormat="1" applyFont="1" applyBorder="1"/>
    <xf numFmtId="0" fontId="2" fillId="0" borderId="12" xfId="0" applyFont="1" applyBorder="1"/>
    <xf numFmtId="165" fontId="2" fillId="0" borderId="12" xfId="1" applyNumberFormat="1" applyFont="1" applyBorder="1"/>
    <xf numFmtId="165" fontId="2" fillId="0" borderId="2" xfId="1" applyNumberFormat="1" applyFont="1" applyBorder="1"/>
    <xf numFmtId="165" fontId="2" fillId="0" borderId="1" xfId="1" applyNumberFormat="1" applyFont="1" applyBorder="1"/>
    <xf numFmtId="165" fontId="2" fillId="0" borderId="8" xfId="1" applyNumberFormat="1" applyFont="1" applyBorder="1"/>
    <xf numFmtId="165" fontId="2" fillId="0" borderId="13" xfId="1" applyNumberFormat="1" applyFont="1" applyBorder="1"/>
    <xf numFmtId="165" fontId="6" fillId="0" borderId="10" xfId="1" applyNumberFormat="1" applyFont="1" applyBorder="1"/>
    <xf numFmtId="165" fontId="3" fillId="0" borderId="5" xfId="1" applyNumberFormat="1" applyFont="1" applyBorder="1" applyAlignment="1">
      <alignment horizontal="center"/>
    </xf>
    <xf numFmtId="44" fontId="2" fillId="0" borderId="0" xfId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17" fontId="2" fillId="0" borderId="20" xfId="0" applyNumberFormat="1" applyFont="1" applyBorder="1" applyAlignment="1">
      <alignment horizontal="center"/>
    </xf>
    <xf numFmtId="165" fontId="6" fillId="0" borderId="21" xfId="1" applyNumberFormat="1" applyFont="1" applyBorder="1"/>
    <xf numFmtId="165" fontId="3" fillId="0" borderId="22" xfId="1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65" fontId="2" fillId="0" borderId="0" xfId="1" applyNumberFormat="1" applyFont="1" applyBorder="1"/>
    <xf numFmtId="165" fontId="6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/>
    <xf numFmtId="165" fontId="3" fillId="0" borderId="0" xfId="1" applyNumberFormat="1" applyFont="1" applyFill="1" applyBorder="1"/>
    <xf numFmtId="0" fontId="4" fillId="0" borderId="0" xfId="0" applyFont="1"/>
    <xf numFmtId="165" fontId="2" fillId="0" borderId="0" xfId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 Projection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59894795675112E-2"/>
          <c:y val="9.6779437011840816E-2"/>
          <c:w val="0.90899024538545448"/>
          <c:h val="0.7247484206381946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'Cash Curve 1 month lag'!$B$14</c:f>
              <c:strCache>
                <c:ptCount val="1"/>
                <c:pt idx="0">
                  <c:v>Monthly Cash Flow</c:v>
                </c:pt>
              </c:strCache>
            </c:strRef>
          </c:tx>
          <c:invertIfNegative val="0"/>
          <c:cat>
            <c:numRef>
              <c:f>'Cash Curve 1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1 month lag'!$C$14:$Q$14</c:f>
              <c:numCache>
                <c:formatCode>_("$"* #,##0_);_("$"* \(#,##0\);_("$"* "-"??_);_(@_)</c:formatCode>
                <c:ptCount val="15"/>
                <c:pt idx="0">
                  <c:v>-84659.916666666672</c:v>
                </c:pt>
                <c:pt idx="1">
                  <c:v>-2939586.8900771793</c:v>
                </c:pt>
                <c:pt idx="2">
                  <c:v>98377.443256154191</c:v>
                </c:pt>
                <c:pt idx="3">
                  <c:v>-1501622.5567438453</c:v>
                </c:pt>
                <c:pt idx="4">
                  <c:v>2295361.0590753634</c:v>
                </c:pt>
                <c:pt idx="5">
                  <c:v>80665.475742029957</c:v>
                </c:pt>
                <c:pt idx="6">
                  <c:v>80665.475742029957</c:v>
                </c:pt>
                <c:pt idx="7">
                  <c:v>-2319334.5242579705</c:v>
                </c:pt>
                <c:pt idx="8">
                  <c:v>3520279.5193255641</c:v>
                </c:pt>
                <c:pt idx="9">
                  <c:v>49413.019325564848</c:v>
                </c:pt>
                <c:pt idx="10">
                  <c:v>49413.019325564848</c:v>
                </c:pt>
                <c:pt idx="11">
                  <c:v>49413.019325564848</c:v>
                </c:pt>
                <c:pt idx="12">
                  <c:v>784632.22412782477</c:v>
                </c:pt>
                <c:pt idx="13">
                  <c:v>810699.78500000015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EE1-9E1A-6B620A49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82888"/>
        <c:axId val="335983280"/>
      </c:barChart>
      <c:lineChart>
        <c:grouping val="standard"/>
        <c:varyColors val="0"/>
        <c:ser>
          <c:idx val="1"/>
          <c:order val="0"/>
          <c:tx>
            <c:strRef>
              <c:f>'Cash Curve 1 month lag'!$B$12</c:f>
              <c:strCache>
                <c:ptCount val="1"/>
                <c:pt idx="0">
                  <c:v>Cum Cost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1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1 month lag'!$C$12:$Q$12</c:f>
              <c:numCache>
                <c:formatCode>_("$"* #,##0_);_("$"* \(#,##0\);_("$"* "-"??_);_(@_)</c:formatCode>
                <c:ptCount val="15"/>
                <c:pt idx="0">
                  <c:v>84659.916666666672</c:v>
                </c:pt>
                <c:pt idx="1">
                  <c:v>3111658.170702179</c:v>
                </c:pt>
                <c:pt idx="2">
                  <c:v>6138656.4247376919</c:v>
                </c:pt>
                <c:pt idx="3">
                  <c:v>10765654.678773204</c:v>
                </c:pt>
                <c:pt idx="4">
                  <c:v>13247669.316989508</c:v>
                </c:pt>
                <c:pt idx="5">
                  <c:v>15729683.955205811</c:v>
                </c:pt>
                <c:pt idx="6">
                  <c:v>18211698.593422115</c:v>
                </c:pt>
                <c:pt idx="7">
                  <c:v>23093713.231638417</c:v>
                </c:pt>
                <c:pt idx="8">
                  <c:v>24614113.826271184</c:v>
                </c:pt>
                <c:pt idx="9">
                  <c:v>26134514.420903951</c:v>
                </c:pt>
                <c:pt idx="10">
                  <c:v>27654915.015536718</c:v>
                </c:pt>
                <c:pt idx="11">
                  <c:v>29175315.610169485</c:v>
                </c:pt>
                <c:pt idx="12">
                  <c:v>29960496.999999993</c:v>
                </c:pt>
                <c:pt idx="13">
                  <c:v>29960496.999999993</c:v>
                </c:pt>
                <c:pt idx="14">
                  <c:v>29960496.999999993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9-4EE1-9E1A-6B620A491A78}"/>
            </c:ext>
          </c:extLst>
        </c:ser>
        <c:ser>
          <c:idx val="2"/>
          <c:order val="1"/>
          <c:tx>
            <c:strRef>
              <c:f>'Cash Curve 1 month lag'!$B$13</c:f>
              <c:strCache>
                <c:ptCount val="1"/>
                <c:pt idx="0">
                  <c:v>Cum Revenue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1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1 month lag'!$C$13:$Q$13</c:f>
              <c:numCache>
                <c:formatCode>_("$"* #,##0_);_("$"* \(#,##0\);_("$"* "-"??_);_(@_)</c:formatCode>
                <c:ptCount val="15"/>
                <c:pt idx="0">
                  <c:v>0</c:v>
                </c:pt>
                <c:pt idx="1">
                  <c:v>87411.363958333328</c:v>
                </c:pt>
                <c:pt idx="2">
                  <c:v>3212787.0612499998</c:v>
                </c:pt>
                <c:pt idx="3">
                  <c:v>6338162.758541666</c:v>
                </c:pt>
                <c:pt idx="4">
                  <c:v>11115538.455833333</c:v>
                </c:pt>
                <c:pt idx="5">
                  <c:v>13678218.569791665</c:v>
                </c:pt>
                <c:pt idx="6">
                  <c:v>16240898.683749998</c:v>
                </c:pt>
                <c:pt idx="7">
                  <c:v>18803578.797708333</c:v>
                </c:pt>
                <c:pt idx="8">
                  <c:v>23844258.911666665</c:v>
                </c:pt>
                <c:pt idx="9">
                  <c:v>25414072.525624998</c:v>
                </c:pt>
                <c:pt idx="10">
                  <c:v>26983886.139583331</c:v>
                </c:pt>
                <c:pt idx="11">
                  <c:v>28553699.753541663</c:v>
                </c:pt>
                <c:pt idx="12">
                  <c:v>30123513.367499996</c:v>
                </c:pt>
                <c:pt idx="13">
                  <c:v>30934213.152499996</c:v>
                </c:pt>
                <c:pt idx="14">
                  <c:v>30934213.152499996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9-4EE1-9E1A-6B620A491A78}"/>
            </c:ext>
          </c:extLst>
        </c:ser>
        <c:ser>
          <c:idx val="4"/>
          <c:order val="3"/>
          <c:tx>
            <c:strRef>
              <c:f>'Cash Curve 1 month lag'!$B$15</c:f>
              <c:strCache>
                <c:ptCount val="1"/>
                <c:pt idx="0">
                  <c:v> Cash Position 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1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1 month lag'!$C$15:$Q$15</c:f>
              <c:numCache>
                <c:formatCode>_("$"* #,##0_);_("$"* \(#,##0\);_("$"* "-"??_);_(@_)</c:formatCode>
                <c:ptCount val="15"/>
                <c:pt idx="0">
                  <c:v>-84659.916666666672</c:v>
                </c:pt>
                <c:pt idx="1">
                  <c:v>-3024246.8067438458</c:v>
                </c:pt>
                <c:pt idx="2">
                  <c:v>-2925869.3634876921</c:v>
                </c:pt>
                <c:pt idx="3">
                  <c:v>-4427491.9202315379</c:v>
                </c:pt>
                <c:pt idx="4">
                  <c:v>-2132130.8611561749</c:v>
                </c:pt>
                <c:pt idx="5">
                  <c:v>-2051465.3854141459</c:v>
                </c:pt>
                <c:pt idx="6">
                  <c:v>-1970799.9096721169</c:v>
                </c:pt>
                <c:pt idx="7">
                  <c:v>-4290134.4339300841</c:v>
                </c:pt>
                <c:pt idx="8">
                  <c:v>-769854.91460451856</c:v>
                </c:pt>
                <c:pt idx="9">
                  <c:v>-720441.89527895302</c:v>
                </c:pt>
                <c:pt idx="10">
                  <c:v>-671028.87595338747</c:v>
                </c:pt>
                <c:pt idx="11">
                  <c:v>-621615.85662782192</c:v>
                </c:pt>
                <c:pt idx="12">
                  <c:v>163016.36750000343</c:v>
                </c:pt>
                <c:pt idx="13">
                  <c:v>973716.15250000358</c:v>
                </c:pt>
                <c:pt idx="14">
                  <c:v>973716.15250000358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9-4EE1-9E1A-6B620A49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82888"/>
        <c:axId val="335983280"/>
      </c:lineChart>
      <c:dateAx>
        <c:axId val="335982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35983280"/>
        <c:crosses val="autoZero"/>
        <c:auto val="1"/>
        <c:lblOffset val="100"/>
        <c:baseTimeUnit val="months"/>
      </c:dateAx>
      <c:valAx>
        <c:axId val="33598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335982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 Projection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59894795675112E-2"/>
          <c:y val="9.6779437011840816E-2"/>
          <c:w val="0.90899024538545448"/>
          <c:h val="0.7247484206381946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'Cash Curve 4 month lag'!$B$14</c:f>
              <c:strCache>
                <c:ptCount val="1"/>
                <c:pt idx="0">
                  <c:v>Monthly Cash Flow</c:v>
                </c:pt>
              </c:strCache>
            </c:strRef>
          </c:tx>
          <c:invertIfNegative val="0"/>
          <c:cat>
            <c:numRef>
              <c:f>'Cash Curve 4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4 month lag'!$C$14:$Q$14</c:f>
              <c:numCache>
                <c:formatCode>_("$"* #,##0_);_("$"* \(#,##0\);_("$"* "-"??_);_(@_)</c:formatCode>
                <c:ptCount val="15"/>
                <c:pt idx="0">
                  <c:v>-84659.916666666672</c:v>
                </c:pt>
                <c:pt idx="1">
                  <c:v>-3026998.2540355125</c:v>
                </c:pt>
                <c:pt idx="2">
                  <c:v>-3026998.2540355125</c:v>
                </c:pt>
                <c:pt idx="3">
                  <c:v>150377.44325615466</c:v>
                </c:pt>
                <c:pt idx="4">
                  <c:v>643361.05907536345</c:v>
                </c:pt>
                <c:pt idx="5">
                  <c:v>3121361.0590753634</c:v>
                </c:pt>
                <c:pt idx="6">
                  <c:v>80665.475742029957</c:v>
                </c:pt>
                <c:pt idx="7">
                  <c:v>-2319334.5242579705</c:v>
                </c:pt>
                <c:pt idx="8">
                  <c:v>1042279.5193255646</c:v>
                </c:pt>
                <c:pt idx="9">
                  <c:v>1042279.5193255646</c:v>
                </c:pt>
                <c:pt idx="10">
                  <c:v>49413.019325564848</c:v>
                </c:pt>
                <c:pt idx="11">
                  <c:v>49413.019325564848</c:v>
                </c:pt>
                <c:pt idx="12">
                  <c:v>784632.22412782477</c:v>
                </c:pt>
                <c:pt idx="13">
                  <c:v>1569813.6139583334</c:v>
                </c:pt>
                <c:pt idx="14">
                  <c:v>898111.14895833354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5-476A-B9A0-39885FCB6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82888"/>
        <c:axId val="335983280"/>
      </c:barChart>
      <c:lineChart>
        <c:grouping val="standard"/>
        <c:varyColors val="0"/>
        <c:ser>
          <c:idx val="1"/>
          <c:order val="0"/>
          <c:tx>
            <c:strRef>
              <c:f>'Cash Curve 4 month lag'!$B$12</c:f>
              <c:strCache>
                <c:ptCount val="1"/>
                <c:pt idx="0">
                  <c:v>Cum Cost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4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4 month lag'!$C$12:$Q$12</c:f>
              <c:numCache>
                <c:formatCode>_("$"* #,##0_);_("$"* \(#,##0\);_("$"* "-"??_);_(@_)</c:formatCode>
                <c:ptCount val="15"/>
                <c:pt idx="0">
                  <c:v>84659.916666666672</c:v>
                </c:pt>
                <c:pt idx="1">
                  <c:v>3111658.170702179</c:v>
                </c:pt>
                <c:pt idx="2">
                  <c:v>6138656.4247376919</c:v>
                </c:pt>
                <c:pt idx="3">
                  <c:v>10765654.678773204</c:v>
                </c:pt>
                <c:pt idx="4">
                  <c:v>13247669.316989508</c:v>
                </c:pt>
                <c:pt idx="5">
                  <c:v>15729683.955205811</c:v>
                </c:pt>
                <c:pt idx="6">
                  <c:v>18211698.593422115</c:v>
                </c:pt>
                <c:pt idx="7">
                  <c:v>23093713.231638417</c:v>
                </c:pt>
                <c:pt idx="8">
                  <c:v>24614113.826271184</c:v>
                </c:pt>
                <c:pt idx="9">
                  <c:v>26134514.420903951</c:v>
                </c:pt>
                <c:pt idx="10">
                  <c:v>27654915.015536718</c:v>
                </c:pt>
                <c:pt idx="11">
                  <c:v>29175315.610169485</c:v>
                </c:pt>
                <c:pt idx="12">
                  <c:v>29960496.999999993</c:v>
                </c:pt>
                <c:pt idx="13">
                  <c:v>29960496.999999993</c:v>
                </c:pt>
                <c:pt idx="14">
                  <c:v>29960496.999999993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5-476A-B9A0-39885FCB6876}"/>
            </c:ext>
          </c:extLst>
        </c:ser>
        <c:ser>
          <c:idx val="2"/>
          <c:order val="1"/>
          <c:tx>
            <c:strRef>
              <c:f>'Cash Curve 4 month lag'!$B$13</c:f>
              <c:strCache>
                <c:ptCount val="1"/>
                <c:pt idx="0">
                  <c:v>Cum Revenue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4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4 month lag'!$C$13:$Q$13</c:f>
              <c:numCache>
                <c:formatCode>_("$"* #,##0_);_("$"* \(#,##0\);_("$"*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4777375.6972916666</c:v>
                </c:pt>
                <c:pt idx="4">
                  <c:v>7902751.3945833333</c:v>
                </c:pt>
                <c:pt idx="5">
                  <c:v>13506127.091875</c:v>
                </c:pt>
                <c:pt idx="6">
                  <c:v>16068807.205833333</c:v>
                </c:pt>
                <c:pt idx="7">
                  <c:v>18631487.319791667</c:v>
                </c:pt>
                <c:pt idx="8">
                  <c:v>21194167.43375</c:v>
                </c:pt>
                <c:pt idx="9">
                  <c:v>23756847.547708333</c:v>
                </c:pt>
                <c:pt idx="10">
                  <c:v>25326661.161666665</c:v>
                </c:pt>
                <c:pt idx="11">
                  <c:v>26896474.775624998</c:v>
                </c:pt>
                <c:pt idx="12">
                  <c:v>28466288.389583331</c:v>
                </c:pt>
                <c:pt idx="13">
                  <c:v>30036102.003541663</c:v>
                </c:pt>
                <c:pt idx="14">
                  <c:v>30934213.152499996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5-476A-B9A0-39885FCB6876}"/>
            </c:ext>
          </c:extLst>
        </c:ser>
        <c:ser>
          <c:idx val="4"/>
          <c:order val="3"/>
          <c:tx>
            <c:strRef>
              <c:f>'Cash Curve 4 month lag'!$B$15</c:f>
              <c:strCache>
                <c:ptCount val="1"/>
                <c:pt idx="0">
                  <c:v> Cash Position 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'Cash Curve 4 month lag'!$C$11:$Q$11</c:f>
              <c:numCache>
                <c:formatCode>mmm\-yy</c:formatCode>
                <c:ptCount val="15"/>
                <c:pt idx="0">
                  <c:v>45275</c:v>
                </c:pt>
                <c:pt idx="1">
                  <c:v>45306</c:v>
                </c:pt>
                <c:pt idx="2">
                  <c:v>45337</c:v>
                </c:pt>
                <c:pt idx="3">
                  <c:v>45368</c:v>
                </c:pt>
                <c:pt idx="4">
                  <c:v>45399</c:v>
                </c:pt>
                <c:pt idx="5">
                  <c:v>45430</c:v>
                </c:pt>
                <c:pt idx="6">
                  <c:v>45461</c:v>
                </c:pt>
                <c:pt idx="7">
                  <c:v>45492</c:v>
                </c:pt>
                <c:pt idx="8">
                  <c:v>45523</c:v>
                </c:pt>
                <c:pt idx="9">
                  <c:v>45554</c:v>
                </c:pt>
                <c:pt idx="10">
                  <c:v>45585</c:v>
                </c:pt>
                <c:pt idx="11">
                  <c:v>45616</c:v>
                </c:pt>
                <c:pt idx="12">
                  <c:v>45647</c:v>
                </c:pt>
                <c:pt idx="13">
                  <c:v>45678</c:v>
                </c:pt>
                <c:pt idx="14">
                  <c:v>45709</c:v>
                </c:pt>
              </c:numCache>
            </c:numRef>
          </c:cat>
          <c:val>
            <c:numRef>
              <c:f>'Cash Curve 4 month lag'!$C$15:$Q$15</c:f>
              <c:numCache>
                <c:formatCode>_("$"* #,##0_);_("$"* \(#,##0\);_("$"* "-"??_);_(@_)</c:formatCode>
                <c:ptCount val="15"/>
                <c:pt idx="0">
                  <c:v>-84659.916666666672</c:v>
                </c:pt>
                <c:pt idx="1">
                  <c:v>-3111658.170702179</c:v>
                </c:pt>
                <c:pt idx="2">
                  <c:v>-6138656.4247376919</c:v>
                </c:pt>
                <c:pt idx="3">
                  <c:v>-5988278.9814815372</c:v>
                </c:pt>
                <c:pt idx="4">
                  <c:v>-5344917.9224061742</c:v>
                </c:pt>
                <c:pt idx="5">
                  <c:v>-2223556.8633308113</c:v>
                </c:pt>
                <c:pt idx="6">
                  <c:v>-2142891.3875887822</c:v>
                </c:pt>
                <c:pt idx="7">
                  <c:v>-4462225.9118467495</c:v>
                </c:pt>
                <c:pt idx="8">
                  <c:v>-3419946.3925211839</c:v>
                </c:pt>
                <c:pt idx="9">
                  <c:v>-2377666.8731956184</c:v>
                </c:pt>
                <c:pt idx="10">
                  <c:v>-2328253.8538700528</c:v>
                </c:pt>
                <c:pt idx="11">
                  <c:v>-2278840.8345444873</c:v>
                </c:pt>
                <c:pt idx="12">
                  <c:v>-1494208.6104166619</c:v>
                </c:pt>
                <c:pt idx="13">
                  <c:v>75605.00354167074</c:v>
                </c:pt>
                <c:pt idx="14">
                  <c:v>973716.15250000358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5-476A-B9A0-39885FCB6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82888"/>
        <c:axId val="335983280"/>
      </c:lineChart>
      <c:dateAx>
        <c:axId val="335982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35983280"/>
        <c:crosses val="autoZero"/>
        <c:auto val="1"/>
        <c:lblOffset val="100"/>
        <c:baseTimeUnit val="months"/>
      </c:dateAx>
      <c:valAx>
        <c:axId val="33598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335982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38</xdr:row>
      <xdr:rowOff>133350</xdr:rowOff>
    </xdr:from>
    <xdr:to>
      <xdr:col>19</xdr:col>
      <xdr:colOff>806823</xdr:colOff>
      <xdr:row>82</xdr:row>
      <xdr:rowOff>67235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38</xdr:row>
      <xdr:rowOff>133350</xdr:rowOff>
    </xdr:from>
    <xdr:to>
      <xdr:col>19</xdr:col>
      <xdr:colOff>806823</xdr:colOff>
      <xdr:row>82</xdr:row>
      <xdr:rowOff>67235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3A0AE6-C095-4406-A85C-DD0B6A0EA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8"/>
  <sheetViews>
    <sheetView tabSelected="1" zoomScale="85" zoomScaleNormal="85" workbookViewId="0">
      <selection activeCell="C19" sqref="C19:Q21"/>
    </sheetView>
  </sheetViews>
  <sheetFormatPr defaultColWidth="9.21875" defaultRowHeight="13.8" x14ac:dyDescent="0.3"/>
  <cols>
    <col min="1" max="1" width="15.5546875" style="1" bestFit="1" customWidth="1"/>
    <col min="2" max="2" width="19" style="1" bestFit="1" customWidth="1"/>
    <col min="3" max="3" width="16.77734375" style="1" customWidth="1"/>
    <col min="4" max="5" width="12.5546875" style="1" bestFit="1" customWidth="1"/>
    <col min="6" max="6" width="17" style="1" bestFit="1" customWidth="1"/>
    <col min="7" max="8" width="12.5546875" style="1" bestFit="1" customWidth="1"/>
    <col min="9" max="17" width="14.21875" style="1" bestFit="1" customWidth="1"/>
    <col min="18" max="20" width="13.77734375" style="1" bestFit="1" customWidth="1"/>
    <col min="21" max="16384" width="9.21875" style="1"/>
  </cols>
  <sheetData>
    <row r="2" spans="2:20" ht="12.75" customHeight="1" x14ac:dyDescent="0.3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2:20" ht="12.75" customHeight="1" x14ac:dyDescent="0.3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2:20" ht="12.75" customHeight="1" x14ac:dyDescent="0.3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2:20" ht="12.75" customHeight="1" x14ac:dyDescent="0.3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2:20" ht="12.7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2:20" ht="12.75" customHeight="1" x14ac:dyDescent="0.3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2:20" ht="12.75" customHeight="1" x14ac:dyDescent="0.3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</row>
    <row r="10" spans="2:20" ht="14.55" x14ac:dyDescent="0.35">
      <c r="B10" s="18"/>
      <c r="C10" s="35" t="s">
        <v>4</v>
      </c>
      <c r="D10" s="58" t="s">
        <v>16</v>
      </c>
      <c r="E10" s="58"/>
      <c r="F10" s="58"/>
      <c r="G10" s="58"/>
      <c r="H10" s="58"/>
      <c r="I10" s="58"/>
      <c r="J10" s="58"/>
      <c r="K10" s="58"/>
      <c r="L10" s="58"/>
      <c r="M10" s="59" t="s">
        <v>5</v>
      </c>
      <c r="N10" s="59"/>
      <c r="O10" s="60" t="s">
        <v>14</v>
      </c>
      <c r="P10" s="60"/>
      <c r="Q10" s="36"/>
      <c r="R10"/>
      <c r="S10"/>
      <c r="T10"/>
    </row>
    <row r="11" spans="2:20" ht="13.05" x14ac:dyDescent="0.3">
      <c r="B11" s="2" t="s">
        <v>0</v>
      </c>
      <c r="C11" s="17">
        <v>45275</v>
      </c>
      <c r="D11" s="17">
        <f>C11+31</f>
        <v>45306</v>
      </c>
      <c r="E11" s="17">
        <f t="shared" ref="E11:Q11" si="0">D11+31</f>
        <v>45337</v>
      </c>
      <c r="F11" s="17">
        <f t="shared" si="0"/>
        <v>45368</v>
      </c>
      <c r="G11" s="17">
        <f t="shared" si="0"/>
        <v>45399</v>
      </c>
      <c r="H11" s="17">
        <f t="shared" si="0"/>
        <v>45430</v>
      </c>
      <c r="I11" s="17">
        <f t="shared" si="0"/>
        <v>45461</v>
      </c>
      <c r="J11" s="17">
        <f t="shared" si="0"/>
        <v>45492</v>
      </c>
      <c r="K11" s="17">
        <f t="shared" si="0"/>
        <v>45523</v>
      </c>
      <c r="L11" s="17">
        <f t="shared" si="0"/>
        <v>45554</v>
      </c>
      <c r="M11" s="17">
        <f t="shared" si="0"/>
        <v>45585</v>
      </c>
      <c r="N11" s="17">
        <f t="shared" si="0"/>
        <v>45616</v>
      </c>
      <c r="O11" s="17">
        <f t="shared" si="0"/>
        <v>45647</v>
      </c>
      <c r="P11" s="17">
        <f t="shared" si="0"/>
        <v>45678</v>
      </c>
      <c r="Q11" s="37">
        <f t="shared" si="0"/>
        <v>45709</v>
      </c>
      <c r="R11" s="40"/>
      <c r="S11" s="40"/>
      <c r="T11" s="40"/>
    </row>
    <row r="12" spans="2:20" ht="13.05" x14ac:dyDescent="0.3">
      <c r="B12" s="15" t="s">
        <v>1</v>
      </c>
      <c r="C12" s="29">
        <f>C26</f>
        <v>84659.916666666672</v>
      </c>
      <c r="D12" s="29">
        <f t="shared" ref="D12:Q12" si="1">C12+D26</f>
        <v>3111658.170702179</v>
      </c>
      <c r="E12" s="29">
        <f t="shared" si="1"/>
        <v>6138656.4247376919</v>
      </c>
      <c r="F12" s="29">
        <f t="shared" si="1"/>
        <v>10765654.678773204</v>
      </c>
      <c r="G12" s="29">
        <f t="shared" si="1"/>
        <v>13247669.316989508</v>
      </c>
      <c r="H12" s="29">
        <f t="shared" si="1"/>
        <v>15729683.955205811</v>
      </c>
      <c r="I12" s="29">
        <f t="shared" si="1"/>
        <v>18211698.593422115</v>
      </c>
      <c r="J12" s="29">
        <f t="shared" si="1"/>
        <v>23093713.231638417</v>
      </c>
      <c r="K12" s="29">
        <f t="shared" si="1"/>
        <v>24614113.826271184</v>
      </c>
      <c r="L12" s="29">
        <f t="shared" si="1"/>
        <v>26134514.420903951</v>
      </c>
      <c r="M12" s="29">
        <f t="shared" si="1"/>
        <v>27654915.015536718</v>
      </c>
      <c r="N12" s="29">
        <f t="shared" si="1"/>
        <v>29175315.610169485</v>
      </c>
      <c r="O12" s="29">
        <f t="shared" si="1"/>
        <v>29960496.999999993</v>
      </c>
      <c r="P12" s="29">
        <f t="shared" si="1"/>
        <v>29960496.999999993</v>
      </c>
      <c r="Q12" s="29">
        <f t="shared" si="1"/>
        <v>29960496.999999993</v>
      </c>
      <c r="R12" s="41"/>
      <c r="S12" s="41"/>
      <c r="T12" s="41"/>
    </row>
    <row r="13" spans="2:20" ht="13.5" thickBot="1" x14ac:dyDescent="0.35">
      <c r="B13" s="21" t="s">
        <v>8</v>
      </c>
      <c r="C13" s="30">
        <f>C37</f>
        <v>0</v>
      </c>
      <c r="D13" s="30">
        <f t="shared" ref="D13:Q13" si="2">C13+D37</f>
        <v>87411.363958333328</v>
      </c>
      <c r="E13" s="30">
        <f t="shared" si="2"/>
        <v>3212787.0612499998</v>
      </c>
      <c r="F13" s="30">
        <f t="shared" si="2"/>
        <v>6338162.758541666</v>
      </c>
      <c r="G13" s="30">
        <f t="shared" si="2"/>
        <v>11115538.455833333</v>
      </c>
      <c r="H13" s="30">
        <f t="shared" si="2"/>
        <v>13678218.569791665</v>
      </c>
      <c r="I13" s="30">
        <f t="shared" si="2"/>
        <v>16240898.683749998</v>
      </c>
      <c r="J13" s="30">
        <f t="shared" si="2"/>
        <v>18803578.797708333</v>
      </c>
      <c r="K13" s="30">
        <f t="shared" si="2"/>
        <v>23844258.911666665</v>
      </c>
      <c r="L13" s="30">
        <f t="shared" si="2"/>
        <v>25414072.525624998</v>
      </c>
      <c r="M13" s="30">
        <f t="shared" si="2"/>
        <v>26983886.139583331</v>
      </c>
      <c r="N13" s="30">
        <f t="shared" si="2"/>
        <v>28553699.753541663</v>
      </c>
      <c r="O13" s="30">
        <f t="shared" si="2"/>
        <v>30123513.367499996</v>
      </c>
      <c r="P13" s="30">
        <f t="shared" si="2"/>
        <v>30934213.152499996</v>
      </c>
      <c r="Q13" s="30">
        <f t="shared" si="2"/>
        <v>30934213.152499996</v>
      </c>
      <c r="R13" s="41"/>
      <c r="S13" s="41"/>
      <c r="T13" s="41"/>
    </row>
    <row r="14" spans="2:20" ht="13.5" thickTop="1" x14ac:dyDescent="0.3">
      <c r="B14" s="16" t="s">
        <v>9</v>
      </c>
      <c r="C14" s="31">
        <f>C37-C26</f>
        <v>-84659.916666666672</v>
      </c>
      <c r="D14" s="31">
        <f t="shared" ref="D14:Q14" si="3">D37-D26</f>
        <v>-2939586.8900771793</v>
      </c>
      <c r="E14" s="31">
        <f t="shared" si="3"/>
        <v>98377.443256154191</v>
      </c>
      <c r="F14" s="31">
        <f t="shared" si="3"/>
        <v>-1501622.5567438453</v>
      </c>
      <c r="G14" s="31">
        <f t="shared" si="3"/>
        <v>2295361.0590753634</v>
      </c>
      <c r="H14" s="31">
        <f t="shared" si="3"/>
        <v>80665.475742029957</v>
      </c>
      <c r="I14" s="31">
        <f t="shared" si="3"/>
        <v>80665.475742029957</v>
      </c>
      <c r="J14" s="31">
        <f t="shared" si="3"/>
        <v>-2319334.5242579705</v>
      </c>
      <c r="K14" s="31">
        <f t="shared" si="3"/>
        <v>3520279.5193255641</v>
      </c>
      <c r="L14" s="31">
        <f t="shared" si="3"/>
        <v>49413.019325564848</v>
      </c>
      <c r="M14" s="31">
        <f t="shared" si="3"/>
        <v>49413.019325564848</v>
      </c>
      <c r="N14" s="31">
        <f t="shared" si="3"/>
        <v>49413.019325564848</v>
      </c>
      <c r="O14" s="31">
        <f t="shared" si="3"/>
        <v>784632.22412782477</v>
      </c>
      <c r="P14" s="31">
        <f t="shared" si="3"/>
        <v>810699.78500000015</v>
      </c>
      <c r="Q14" s="38">
        <f t="shared" si="3"/>
        <v>0</v>
      </c>
      <c r="R14" s="42"/>
      <c r="S14" s="42"/>
      <c r="T14" s="42"/>
    </row>
    <row r="15" spans="2:20" ht="13.05" x14ac:dyDescent="0.3">
      <c r="B15" s="20" t="s">
        <v>3</v>
      </c>
      <c r="C15" s="32">
        <f t="shared" ref="C15:Q15" si="4">C13-C12</f>
        <v>-84659.916666666672</v>
      </c>
      <c r="D15" s="32">
        <f t="shared" si="4"/>
        <v>-3024246.8067438458</v>
      </c>
      <c r="E15" s="32">
        <f t="shared" si="4"/>
        <v>-2925869.3634876921</v>
      </c>
      <c r="F15" s="32">
        <f t="shared" si="4"/>
        <v>-4427491.9202315379</v>
      </c>
      <c r="G15" s="32">
        <f t="shared" si="4"/>
        <v>-2132130.8611561749</v>
      </c>
      <c r="H15" s="32">
        <f t="shared" si="4"/>
        <v>-2051465.3854141459</v>
      </c>
      <c r="I15" s="32">
        <f t="shared" si="4"/>
        <v>-1970799.9096721169</v>
      </c>
      <c r="J15" s="32">
        <f t="shared" si="4"/>
        <v>-4290134.4339300841</v>
      </c>
      <c r="K15" s="32">
        <f t="shared" si="4"/>
        <v>-769854.91460451856</v>
      </c>
      <c r="L15" s="32">
        <f t="shared" si="4"/>
        <v>-720441.89527895302</v>
      </c>
      <c r="M15" s="32">
        <f t="shared" si="4"/>
        <v>-671028.87595338747</v>
      </c>
      <c r="N15" s="32">
        <f t="shared" si="4"/>
        <v>-621615.85662782192</v>
      </c>
      <c r="O15" s="32">
        <f t="shared" si="4"/>
        <v>163016.36750000343</v>
      </c>
      <c r="P15" s="32">
        <f t="shared" si="4"/>
        <v>973716.15250000358</v>
      </c>
      <c r="Q15" s="39">
        <f t="shared" si="4"/>
        <v>973716.15250000358</v>
      </c>
      <c r="R15" s="43"/>
      <c r="S15" s="43"/>
      <c r="T15" s="43"/>
    </row>
    <row r="16" spans="2:20" ht="13.05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6" ht="13.05" x14ac:dyDescent="0.3">
      <c r="R17" s="6"/>
    </row>
    <row r="18" spans="1:26" ht="15" thickBot="1" x14ac:dyDescent="0.4">
      <c r="A18" s="9"/>
      <c r="B18" s="48" t="s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6"/>
      <c r="S18" s="46"/>
      <c r="T18" s="46"/>
    </row>
    <row r="19" spans="1:26" ht="13.05" x14ac:dyDescent="0.3">
      <c r="A19" s="7">
        <f>757478+12000+16343+230098</f>
        <v>1015919</v>
      </c>
      <c r="B19" s="2" t="s">
        <v>10</v>
      </c>
      <c r="C19" s="28">
        <f>$A$19/12</f>
        <v>84659.916666666672</v>
      </c>
      <c r="D19" s="28">
        <f t="shared" ref="D19:N19" si="5">$A$19/12</f>
        <v>84659.916666666672</v>
      </c>
      <c r="E19" s="28">
        <f t="shared" si="5"/>
        <v>84659.916666666672</v>
      </c>
      <c r="F19" s="28">
        <f t="shared" si="5"/>
        <v>84659.916666666672</v>
      </c>
      <c r="G19" s="28">
        <f t="shared" si="5"/>
        <v>84659.916666666672</v>
      </c>
      <c r="H19" s="28">
        <f t="shared" si="5"/>
        <v>84659.916666666672</v>
      </c>
      <c r="I19" s="28">
        <f t="shared" si="5"/>
        <v>84659.916666666672</v>
      </c>
      <c r="J19" s="28">
        <f t="shared" si="5"/>
        <v>84659.916666666672</v>
      </c>
      <c r="K19" s="28">
        <f t="shared" si="5"/>
        <v>84659.916666666672</v>
      </c>
      <c r="L19" s="28">
        <f t="shared" si="5"/>
        <v>84659.916666666672</v>
      </c>
      <c r="M19" s="28">
        <f t="shared" si="5"/>
        <v>84659.916666666672</v>
      </c>
      <c r="N19" s="28">
        <f t="shared" si="5"/>
        <v>84659.916666666672</v>
      </c>
      <c r="O19" s="28">
        <v>0</v>
      </c>
      <c r="P19" s="28">
        <v>0</v>
      </c>
      <c r="Q19" s="28">
        <v>0</v>
      </c>
      <c r="R19" s="44"/>
      <c r="S19" s="44"/>
      <c r="T19" s="44"/>
    </row>
    <row r="20" spans="1:26" ht="13.05" x14ac:dyDescent="0.3">
      <c r="A20" s="11">
        <f>28944578-A21</f>
        <v>24944578</v>
      </c>
      <c r="B20" s="4" t="s">
        <v>11</v>
      </c>
      <c r="C20" s="27">
        <f>C31/1.0325</f>
        <v>0</v>
      </c>
      <c r="D20" s="27">
        <f t="shared" ref="D20:O20" si="6">E31/1.0325</f>
        <v>2942338.3373688459</v>
      </c>
      <c r="E20" s="27">
        <f t="shared" si="6"/>
        <v>2942338.3373688459</v>
      </c>
      <c r="F20" s="27">
        <f t="shared" si="6"/>
        <v>2942338.3373688459</v>
      </c>
      <c r="G20" s="27">
        <f t="shared" si="6"/>
        <v>2397354.7215496367</v>
      </c>
      <c r="H20" s="27">
        <f t="shared" si="6"/>
        <v>2397354.7215496367</v>
      </c>
      <c r="I20" s="27">
        <f t="shared" si="6"/>
        <v>2397354.7215496367</v>
      </c>
      <c r="J20" s="27">
        <f t="shared" si="6"/>
        <v>2397354.7215496367</v>
      </c>
      <c r="K20" s="27">
        <f t="shared" si="6"/>
        <v>1435740.6779661018</v>
      </c>
      <c r="L20" s="27">
        <f t="shared" si="6"/>
        <v>1435740.6779661018</v>
      </c>
      <c r="M20" s="27">
        <f t="shared" si="6"/>
        <v>1435740.6779661018</v>
      </c>
      <c r="N20" s="27">
        <f t="shared" si="6"/>
        <v>1435740.6779661018</v>
      </c>
      <c r="O20" s="27">
        <f t="shared" si="6"/>
        <v>785181.38983050862</v>
      </c>
      <c r="P20" s="27">
        <v>0</v>
      </c>
      <c r="Q20" s="27">
        <v>0</v>
      </c>
      <c r="R20" s="44"/>
      <c r="S20" s="44"/>
      <c r="T20" s="44"/>
    </row>
    <row r="21" spans="1:26" ht="13.05" x14ac:dyDescent="0.3">
      <c r="A21" s="33">
        <v>4000000</v>
      </c>
      <c r="B21" s="16" t="s">
        <v>15</v>
      </c>
      <c r="C21" s="22"/>
      <c r="D21" s="22"/>
      <c r="E21" s="22"/>
      <c r="F21" s="22">
        <f>$A$21*0.4</f>
        <v>1600000</v>
      </c>
      <c r="G21" s="22"/>
      <c r="H21" s="22"/>
      <c r="I21" s="22"/>
      <c r="J21" s="22">
        <f>$A$21*0.6</f>
        <v>2400000</v>
      </c>
      <c r="K21" s="22"/>
      <c r="L21" s="22"/>
      <c r="M21" s="22"/>
      <c r="N21" s="22"/>
      <c r="O21" s="22"/>
      <c r="P21" s="22"/>
      <c r="Q21" s="22"/>
      <c r="R21" s="44"/>
      <c r="S21" s="44"/>
      <c r="T21" s="44"/>
    </row>
    <row r="22" spans="1:26" ht="13.05" x14ac:dyDescent="0.3">
      <c r="A22" s="33"/>
      <c r="B22" s="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4"/>
      <c r="S22" s="44"/>
      <c r="T22" s="44"/>
    </row>
    <row r="23" spans="1:26" ht="13.05" x14ac:dyDescent="0.3">
      <c r="A23" s="33"/>
      <c r="B23" s="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4"/>
      <c r="S23" s="44"/>
      <c r="T23" s="44"/>
    </row>
    <row r="24" spans="1:26" ht="13.05" x14ac:dyDescent="0.3">
      <c r="A24" s="33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/>
      <c r="S24" s="44"/>
      <c r="T24" s="44"/>
    </row>
    <row r="25" spans="1:26" ht="13.5" thickBot="1" x14ac:dyDescent="0.35">
      <c r="A25" s="7"/>
      <c r="B25" s="25"/>
      <c r="C25" s="26">
        <f t="shared" ref="C25:I25" si="7">$A$25/7</f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I25" s="26">
        <f t="shared" si="7"/>
        <v>0</v>
      </c>
      <c r="J25" s="26">
        <f>$A$25/7</f>
        <v>0</v>
      </c>
      <c r="K25" s="26">
        <f t="shared" ref="K25:P25" si="8">$A$25/7</f>
        <v>0</v>
      </c>
      <c r="L25" s="26">
        <f t="shared" si="8"/>
        <v>0</v>
      </c>
      <c r="M25" s="26">
        <f t="shared" si="8"/>
        <v>0</v>
      </c>
      <c r="N25" s="26">
        <f t="shared" si="8"/>
        <v>0</v>
      </c>
      <c r="O25" s="26">
        <f t="shared" si="8"/>
        <v>0</v>
      </c>
      <c r="P25" s="26">
        <f t="shared" si="8"/>
        <v>0</v>
      </c>
      <c r="Q25" s="26"/>
      <c r="R25" s="44"/>
      <c r="S25" s="44"/>
      <c r="T25" s="44"/>
    </row>
    <row r="26" spans="1:26" ht="13.5" thickTop="1" x14ac:dyDescent="0.3">
      <c r="A26" s="8">
        <f>SUM(A19:A25)</f>
        <v>29960497</v>
      </c>
      <c r="B26" s="10" t="s">
        <v>2</v>
      </c>
      <c r="C26" s="14">
        <f t="shared" ref="C26:Q26" si="9">SUM(C19:C25)</f>
        <v>84659.916666666672</v>
      </c>
      <c r="D26" s="14">
        <f t="shared" si="9"/>
        <v>3026998.2540355125</v>
      </c>
      <c r="E26" s="14">
        <f t="shared" si="9"/>
        <v>3026998.2540355125</v>
      </c>
      <c r="F26" s="14">
        <f t="shared" si="9"/>
        <v>4626998.254035512</v>
      </c>
      <c r="G26" s="14">
        <f t="shared" si="9"/>
        <v>2482014.6382163032</v>
      </c>
      <c r="H26" s="14">
        <f t="shared" si="9"/>
        <v>2482014.6382163032</v>
      </c>
      <c r="I26" s="14">
        <f t="shared" si="9"/>
        <v>2482014.6382163032</v>
      </c>
      <c r="J26" s="14">
        <f t="shared" si="9"/>
        <v>4882014.6382163037</v>
      </c>
      <c r="K26" s="14">
        <f t="shared" si="9"/>
        <v>1520400.5946327685</v>
      </c>
      <c r="L26" s="14">
        <f t="shared" si="9"/>
        <v>1520400.5946327685</v>
      </c>
      <c r="M26" s="14">
        <f t="shared" si="9"/>
        <v>1520400.5946327685</v>
      </c>
      <c r="N26" s="14">
        <f t="shared" si="9"/>
        <v>1520400.5946327685</v>
      </c>
      <c r="O26" s="14">
        <f t="shared" si="9"/>
        <v>785181.38983050862</v>
      </c>
      <c r="P26" s="14">
        <f t="shared" si="9"/>
        <v>0</v>
      </c>
      <c r="Q26" s="14">
        <f t="shared" si="9"/>
        <v>0</v>
      </c>
      <c r="R26" s="45"/>
      <c r="S26" s="45"/>
      <c r="T26" s="45"/>
    </row>
    <row r="27" spans="1:26" ht="13.05" x14ac:dyDescent="0.3">
      <c r="A27" s="8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6" ht="13.05" x14ac:dyDescent="0.3">
      <c r="A28" s="8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6" ht="15" thickBot="1" x14ac:dyDescent="0.4">
      <c r="A29" s="8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6"/>
      <c r="S29" s="46"/>
      <c r="T29" s="46"/>
      <c r="Z29" s="1">
        <v>29960497</v>
      </c>
    </row>
    <row r="30" spans="1:26" ht="13.05" x14ac:dyDescent="0.3">
      <c r="A30" s="8">
        <f>A19*1.0325</f>
        <v>1048936.3674999999</v>
      </c>
      <c r="B30" s="2" t="s">
        <v>7</v>
      </c>
      <c r="C30" s="28">
        <v>0</v>
      </c>
      <c r="D30" s="28">
        <f>$A$30/12</f>
        <v>87411.363958333328</v>
      </c>
      <c r="E30" s="28">
        <f t="shared" ref="E30:O30" si="10">$A$30/12</f>
        <v>87411.363958333328</v>
      </c>
      <c r="F30" s="28">
        <f t="shared" si="10"/>
        <v>87411.363958333328</v>
      </c>
      <c r="G30" s="28">
        <f t="shared" si="10"/>
        <v>87411.363958333328</v>
      </c>
      <c r="H30" s="28">
        <f t="shared" si="10"/>
        <v>87411.363958333328</v>
      </c>
      <c r="I30" s="28">
        <f t="shared" si="10"/>
        <v>87411.363958333328</v>
      </c>
      <c r="J30" s="28">
        <f t="shared" si="10"/>
        <v>87411.363958333328</v>
      </c>
      <c r="K30" s="28">
        <f t="shared" si="10"/>
        <v>87411.363958333328</v>
      </c>
      <c r="L30" s="28">
        <f t="shared" si="10"/>
        <v>87411.363958333328</v>
      </c>
      <c r="M30" s="28">
        <f t="shared" si="10"/>
        <v>87411.363958333328</v>
      </c>
      <c r="N30" s="28">
        <f t="shared" si="10"/>
        <v>87411.363958333328</v>
      </c>
      <c r="O30" s="28">
        <f t="shared" si="10"/>
        <v>87411.363958333328</v>
      </c>
      <c r="P30" s="28">
        <v>0</v>
      </c>
      <c r="Q30" s="28">
        <v>0</v>
      </c>
      <c r="R30" s="44"/>
      <c r="S30" s="44">
        <f>A37-A26</f>
        <v>973716.15249999613</v>
      </c>
      <c r="T30" s="47"/>
      <c r="Z30" s="1">
        <f>Z29*1.0325</f>
        <v>30934213.1525</v>
      </c>
    </row>
    <row r="31" spans="1:26" ht="13.05" x14ac:dyDescent="0.3">
      <c r="A31" s="8">
        <f>A20*(1.0325)</f>
        <v>25755276.785</v>
      </c>
      <c r="B31" s="4" t="s">
        <v>6</v>
      </c>
      <c r="C31" s="27">
        <v>0</v>
      </c>
      <c r="D31" s="4">
        <v>0</v>
      </c>
      <c r="E31" s="27">
        <f>9113893/3</f>
        <v>3037964.3333333335</v>
      </c>
      <c r="F31" s="27">
        <f t="shared" ref="F31:G31" si="11">9113893/3</f>
        <v>3037964.3333333335</v>
      </c>
      <c r="G31" s="27">
        <f t="shared" si="11"/>
        <v>3037964.3333333335</v>
      </c>
      <c r="H31" s="27">
        <f>(12901075-3000000)/4</f>
        <v>2475268.75</v>
      </c>
      <c r="I31" s="27">
        <f t="shared" ref="I31:K31" si="12">(12901075-3000000)/4</f>
        <v>2475268.75</v>
      </c>
      <c r="J31" s="27">
        <f t="shared" si="12"/>
        <v>2475268.75</v>
      </c>
      <c r="K31" s="27">
        <f t="shared" si="12"/>
        <v>2475268.75</v>
      </c>
      <c r="L31" s="27">
        <f>(6929609-1000000)/4</f>
        <v>1482402.25</v>
      </c>
      <c r="M31" s="27">
        <f t="shared" ref="M31:O31" si="13">(6929609-1000000)/4</f>
        <v>1482402.25</v>
      </c>
      <c r="N31" s="27">
        <f t="shared" si="13"/>
        <v>1482402.25</v>
      </c>
      <c r="O31" s="27">
        <f t="shared" si="13"/>
        <v>1482402.25</v>
      </c>
      <c r="P31" s="27">
        <f>A31-SUM(E31:O31)</f>
        <v>810699.78500000015</v>
      </c>
      <c r="Q31" s="4">
        <v>0</v>
      </c>
      <c r="R31" s="44"/>
      <c r="S31" s="44"/>
      <c r="T31" s="44"/>
    </row>
    <row r="32" spans="1:26" ht="13.05" x14ac:dyDescent="0.3">
      <c r="A32" s="34">
        <f>A21*1.0325</f>
        <v>4130000</v>
      </c>
      <c r="B32" s="16" t="s">
        <v>15</v>
      </c>
      <c r="C32" s="22">
        <v>0</v>
      </c>
      <c r="D32" s="22">
        <v>0</v>
      </c>
      <c r="E32" s="22">
        <v>0</v>
      </c>
      <c r="F32" s="22">
        <v>0</v>
      </c>
      <c r="G32" s="22">
        <f>$A$32*0.4</f>
        <v>1652000</v>
      </c>
      <c r="H32" s="22">
        <v>0</v>
      </c>
      <c r="I32" s="22">
        <v>0</v>
      </c>
      <c r="J32" s="22">
        <f>K21</f>
        <v>0</v>
      </c>
      <c r="K32" s="22">
        <f>$A$32*0.6</f>
        <v>2478000</v>
      </c>
      <c r="L32" s="22">
        <f>M21</f>
        <v>0</v>
      </c>
      <c r="M32" s="22">
        <f>N21</f>
        <v>0</v>
      </c>
      <c r="N32" s="22">
        <f>O21</f>
        <v>0</v>
      </c>
      <c r="O32" s="22">
        <f>P21</f>
        <v>0</v>
      </c>
      <c r="P32" s="22">
        <f>Q21</f>
        <v>0</v>
      </c>
      <c r="Q32" s="1">
        <v>0</v>
      </c>
      <c r="R32" s="44"/>
      <c r="S32" s="44"/>
      <c r="T32" s="44"/>
    </row>
    <row r="33" spans="1:20" ht="13.05" x14ac:dyDescent="0.3">
      <c r="A33" s="34"/>
      <c r="B33" s="3"/>
      <c r="C33" s="23">
        <v>0</v>
      </c>
      <c r="D33" s="23">
        <f>D22</f>
        <v>0</v>
      </c>
      <c r="E33" s="23">
        <f>E22</f>
        <v>0</v>
      </c>
      <c r="F33" s="23">
        <f t="shared" ref="F33:H34" si="14">F22</f>
        <v>0</v>
      </c>
      <c r="G33" s="23">
        <f t="shared" si="14"/>
        <v>0</v>
      </c>
      <c r="H33" s="23">
        <f t="shared" si="14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f>Q22</f>
        <v>0</v>
      </c>
      <c r="R33" s="44"/>
      <c r="S33" s="44"/>
      <c r="T33" s="44"/>
    </row>
    <row r="34" spans="1:20" ht="13.05" x14ac:dyDescent="0.3">
      <c r="A34" s="34"/>
      <c r="B34" s="3"/>
      <c r="C34" s="23">
        <v>0</v>
      </c>
      <c r="D34" s="23">
        <f>D23</f>
        <v>0</v>
      </c>
      <c r="E34" s="23">
        <f>E23</f>
        <v>0</v>
      </c>
      <c r="F34" s="23">
        <f t="shared" si="14"/>
        <v>0</v>
      </c>
      <c r="G34" s="23">
        <f t="shared" si="14"/>
        <v>0</v>
      </c>
      <c r="H34" s="23">
        <f t="shared" si="14"/>
        <v>0</v>
      </c>
      <c r="I34" s="23">
        <v>0</v>
      </c>
      <c r="J34" s="23">
        <f t="shared" ref="J34:P34" si="15">J23</f>
        <v>0</v>
      </c>
      <c r="K34" s="23">
        <f t="shared" si="15"/>
        <v>0</v>
      </c>
      <c r="L34" s="23">
        <f t="shared" si="15"/>
        <v>0</v>
      </c>
      <c r="M34" s="23">
        <f t="shared" si="15"/>
        <v>0</v>
      </c>
      <c r="N34" s="23">
        <f t="shared" si="15"/>
        <v>0</v>
      </c>
      <c r="O34" s="23">
        <f t="shared" si="15"/>
        <v>0</v>
      </c>
      <c r="P34" s="23">
        <f t="shared" si="15"/>
        <v>0</v>
      </c>
      <c r="Q34" s="23">
        <f>Q23</f>
        <v>0</v>
      </c>
      <c r="R34" s="44"/>
      <c r="S34" s="44"/>
      <c r="T34" s="44"/>
    </row>
    <row r="35" spans="1:20" ht="13.05" x14ac:dyDescent="0.3">
      <c r="A35" s="34"/>
      <c r="B35" s="19"/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44"/>
      <c r="S35" s="44"/>
      <c r="T35" s="44"/>
    </row>
    <row r="36" spans="1:20" ht="13.5" thickBot="1" x14ac:dyDescent="0.35">
      <c r="A36" s="8"/>
      <c r="B36" s="25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44"/>
      <c r="S36" s="44"/>
      <c r="T36" s="44"/>
    </row>
    <row r="37" spans="1:20" ht="13.5" thickTop="1" x14ac:dyDescent="0.3">
      <c r="A37" s="8">
        <f>SUM(C37:T37)</f>
        <v>30934213.152499996</v>
      </c>
      <c r="B37" s="10" t="s">
        <v>2</v>
      </c>
      <c r="C37" s="14">
        <f t="shared" ref="C37:Q37" si="16">SUM(C30:C36)</f>
        <v>0</v>
      </c>
      <c r="D37" s="14">
        <f t="shared" si="16"/>
        <v>87411.363958333328</v>
      </c>
      <c r="E37" s="14">
        <f t="shared" si="16"/>
        <v>3125375.6972916666</v>
      </c>
      <c r="F37" s="14">
        <f t="shared" si="16"/>
        <v>3125375.6972916666</v>
      </c>
      <c r="G37" s="14">
        <f t="shared" si="16"/>
        <v>4777375.6972916666</v>
      </c>
      <c r="H37" s="14">
        <f t="shared" si="16"/>
        <v>2562680.1139583332</v>
      </c>
      <c r="I37" s="14">
        <f t="shared" si="16"/>
        <v>2562680.1139583332</v>
      </c>
      <c r="J37" s="14">
        <f t="shared" si="16"/>
        <v>2562680.1139583332</v>
      </c>
      <c r="K37" s="14">
        <f t="shared" si="16"/>
        <v>5040680.1139583327</v>
      </c>
      <c r="L37" s="14">
        <f t="shared" si="16"/>
        <v>1569813.6139583334</v>
      </c>
      <c r="M37" s="14">
        <f t="shared" si="16"/>
        <v>1569813.6139583334</v>
      </c>
      <c r="N37" s="14">
        <f t="shared" si="16"/>
        <v>1569813.6139583334</v>
      </c>
      <c r="O37" s="14">
        <f t="shared" si="16"/>
        <v>1569813.6139583334</v>
      </c>
      <c r="P37" s="14">
        <f t="shared" si="16"/>
        <v>810699.78500000015</v>
      </c>
      <c r="Q37" s="14">
        <f t="shared" si="16"/>
        <v>0</v>
      </c>
      <c r="R37" s="45"/>
      <c r="S37" s="45"/>
      <c r="T37" s="45"/>
    </row>
    <row r="38" spans="1:20" ht="13.05" x14ac:dyDescent="0.3">
      <c r="A38" s="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mergeCells count="6">
    <mergeCell ref="B29:Q29"/>
    <mergeCell ref="B2:T8"/>
    <mergeCell ref="D10:L10"/>
    <mergeCell ref="M10:N10"/>
    <mergeCell ref="O10:P10"/>
    <mergeCell ref="B18:Q18"/>
  </mergeCells>
  <pageMargins left="0.7" right="0.7" top="0.75" bottom="0.75" header="0.3" footer="0.3"/>
  <pageSetup paperSize="142" scale="2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BFB5-9F6A-436E-8D18-4C9C25F94664}">
  <dimension ref="A2:Z38"/>
  <sheetViews>
    <sheetView topLeftCell="A29" zoomScale="85" zoomScaleNormal="85" workbookViewId="0">
      <selection activeCell="C19" sqref="C19:Q21"/>
    </sheetView>
  </sheetViews>
  <sheetFormatPr defaultColWidth="9.21875" defaultRowHeight="13.8" x14ac:dyDescent="0.3"/>
  <cols>
    <col min="1" max="1" width="15.5546875" style="1" bestFit="1" customWidth="1"/>
    <col min="2" max="2" width="19" style="1" bestFit="1" customWidth="1"/>
    <col min="3" max="3" width="16.77734375" style="1" customWidth="1"/>
    <col min="4" max="5" width="12.5546875" style="1" bestFit="1" customWidth="1"/>
    <col min="6" max="6" width="17" style="1" bestFit="1" customWidth="1"/>
    <col min="7" max="8" width="12.5546875" style="1" bestFit="1" customWidth="1"/>
    <col min="9" max="17" width="14.21875" style="1" bestFit="1" customWidth="1"/>
    <col min="18" max="20" width="13.77734375" style="1" bestFit="1" customWidth="1"/>
    <col min="21" max="16384" width="9.21875" style="1"/>
  </cols>
  <sheetData>
    <row r="2" spans="2:20" ht="12.75" customHeight="1" x14ac:dyDescent="0.3">
      <c r="B2" s="49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2:20" ht="12.75" customHeight="1" x14ac:dyDescent="0.3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2:20" ht="12.75" customHeight="1" x14ac:dyDescent="0.3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2:20" ht="12.75" customHeight="1" x14ac:dyDescent="0.3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2:20" ht="12.75" customHeight="1" x14ac:dyDescent="0.3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2:20" ht="12.75" customHeight="1" x14ac:dyDescent="0.3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2:20" ht="12.75" customHeight="1" x14ac:dyDescent="0.3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</row>
    <row r="10" spans="2:20" ht="14.55" x14ac:dyDescent="0.35">
      <c r="B10" s="18"/>
      <c r="C10" s="35" t="s">
        <v>4</v>
      </c>
      <c r="D10" s="58" t="s">
        <v>16</v>
      </c>
      <c r="E10" s="58"/>
      <c r="F10" s="58"/>
      <c r="G10" s="58"/>
      <c r="H10" s="58"/>
      <c r="I10" s="58"/>
      <c r="J10" s="58"/>
      <c r="K10" s="58"/>
      <c r="L10" s="58"/>
      <c r="M10" s="59" t="s">
        <v>5</v>
      </c>
      <c r="N10" s="59"/>
      <c r="O10" s="60" t="s">
        <v>14</v>
      </c>
      <c r="P10" s="60"/>
      <c r="Q10" s="36"/>
      <c r="R10"/>
      <c r="S10"/>
      <c r="T10"/>
    </row>
    <row r="11" spans="2:20" ht="13.05" x14ac:dyDescent="0.3">
      <c r="B11" s="2" t="s">
        <v>0</v>
      </c>
      <c r="C11" s="17">
        <v>45275</v>
      </c>
      <c r="D11" s="17">
        <f>C11+31</f>
        <v>45306</v>
      </c>
      <c r="E11" s="17">
        <f t="shared" ref="E11:Q11" si="0">D11+31</f>
        <v>45337</v>
      </c>
      <c r="F11" s="17">
        <f t="shared" si="0"/>
        <v>45368</v>
      </c>
      <c r="G11" s="17">
        <f t="shared" si="0"/>
        <v>45399</v>
      </c>
      <c r="H11" s="17">
        <f t="shared" si="0"/>
        <v>45430</v>
      </c>
      <c r="I11" s="17">
        <f t="shared" si="0"/>
        <v>45461</v>
      </c>
      <c r="J11" s="17">
        <f t="shared" si="0"/>
        <v>45492</v>
      </c>
      <c r="K11" s="17">
        <f t="shared" si="0"/>
        <v>45523</v>
      </c>
      <c r="L11" s="17">
        <f t="shared" si="0"/>
        <v>45554</v>
      </c>
      <c r="M11" s="17">
        <f t="shared" si="0"/>
        <v>45585</v>
      </c>
      <c r="N11" s="17">
        <f t="shared" si="0"/>
        <v>45616</v>
      </c>
      <c r="O11" s="17">
        <f t="shared" si="0"/>
        <v>45647</v>
      </c>
      <c r="P11" s="17">
        <f t="shared" si="0"/>
        <v>45678</v>
      </c>
      <c r="Q11" s="37">
        <f t="shared" si="0"/>
        <v>45709</v>
      </c>
      <c r="R11" s="40"/>
      <c r="S11" s="40"/>
      <c r="T11" s="40"/>
    </row>
    <row r="12" spans="2:20" ht="13.05" x14ac:dyDescent="0.3">
      <c r="B12" s="15" t="s">
        <v>1</v>
      </c>
      <c r="C12" s="29">
        <f>C26</f>
        <v>84659.916666666672</v>
      </c>
      <c r="D12" s="29">
        <f t="shared" ref="D12:Q12" si="1">C12+D26</f>
        <v>3111658.170702179</v>
      </c>
      <c r="E12" s="29">
        <f t="shared" si="1"/>
        <v>6138656.4247376919</v>
      </c>
      <c r="F12" s="29">
        <f t="shared" si="1"/>
        <v>10765654.678773204</v>
      </c>
      <c r="G12" s="29">
        <f t="shared" si="1"/>
        <v>13247669.316989508</v>
      </c>
      <c r="H12" s="29">
        <f t="shared" si="1"/>
        <v>15729683.955205811</v>
      </c>
      <c r="I12" s="29">
        <f t="shared" si="1"/>
        <v>18211698.593422115</v>
      </c>
      <c r="J12" s="29">
        <f t="shared" si="1"/>
        <v>23093713.231638417</v>
      </c>
      <c r="K12" s="29">
        <f t="shared" si="1"/>
        <v>24614113.826271184</v>
      </c>
      <c r="L12" s="29">
        <f t="shared" si="1"/>
        <v>26134514.420903951</v>
      </c>
      <c r="M12" s="29">
        <f t="shared" si="1"/>
        <v>27654915.015536718</v>
      </c>
      <c r="N12" s="29">
        <f t="shared" si="1"/>
        <v>29175315.610169485</v>
      </c>
      <c r="O12" s="29">
        <f t="shared" si="1"/>
        <v>29960496.999999993</v>
      </c>
      <c r="P12" s="29">
        <f t="shared" si="1"/>
        <v>29960496.999999993</v>
      </c>
      <c r="Q12" s="29">
        <f t="shared" si="1"/>
        <v>29960496.999999993</v>
      </c>
      <c r="R12" s="41"/>
      <c r="S12" s="41"/>
      <c r="T12" s="41"/>
    </row>
    <row r="13" spans="2:20" ht="13.5" thickBot="1" x14ac:dyDescent="0.35">
      <c r="B13" s="21" t="s">
        <v>8</v>
      </c>
      <c r="C13" s="30">
        <f>C37</f>
        <v>0</v>
      </c>
      <c r="D13" s="30">
        <f t="shared" ref="D13:Q13" si="2">C13+D37</f>
        <v>0</v>
      </c>
      <c r="E13" s="30">
        <f t="shared" si="2"/>
        <v>0</v>
      </c>
      <c r="F13" s="30">
        <f t="shared" si="2"/>
        <v>4777375.6972916666</v>
      </c>
      <c r="G13" s="30">
        <f t="shared" si="2"/>
        <v>7902751.3945833333</v>
      </c>
      <c r="H13" s="30">
        <f t="shared" si="2"/>
        <v>13506127.091875</v>
      </c>
      <c r="I13" s="30">
        <f t="shared" si="2"/>
        <v>16068807.205833333</v>
      </c>
      <c r="J13" s="30">
        <f t="shared" si="2"/>
        <v>18631487.319791667</v>
      </c>
      <c r="K13" s="30">
        <f t="shared" si="2"/>
        <v>21194167.43375</v>
      </c>
      <c r="L13" s="30">
        <f t="shared" si="2"/>
        <v>23756847.547708333</v>
      </c>
      <c r="M13" s="30">
        <f t="shared" si="2"/>
        <v>25326661.161666665</v>
      </c>
      <c r="N13" s="30">
        <f t="shared" si="2"/>
        <v>26896474.775624998</v>
      </c>
      <c r="O13" s="30">
        <f t="shared" si="2"/>
        <v>28466288.389583331</v>
      </c>
      <c r="P13" s="30">
        <f t="shared" si="2"/>
        <v>30036102.003541663</v>
      </c>
      <c r="Q13" s="30">
        <f t="shared" si="2"/>
        <v>30934213.152499996</v>
      </c>
      <c r="R13" s="41"/>
      <c r="S13" s="41"/>
      <c r="T13" s="41"/>
    </row>
    <row r="14" spans="2:20" ht="13.5" thickTop="1" x14ac:dyDescent="0.3">
      <c r="B14" s="16" t="s">
        <v>9</v>
      </c>
      <c r="C14" s="31">
        <f>C37-C26</f>
        <v>-84659.916666666672</v>
      </c>
      <c r="D14" s="31">
        <f t="shared" ref="D14:Q14" si="3">D37-D26</f>
        <v>-3026998.2540355125</v>
      </c>
      <c r="E14" s="31">
        <f t="shared" si="3"/>
        <v>-3026998.2540355125</v>
      </c>
      <c r="F14" s="31">
        <f t="shared" si="3"/>
        <v>150377.44325615466</v>
      </c>
      <c r="G14" s="31">
        <f t="shared" si="3"/>
        <v>643361.05907536345</v>
      </c>
      <c r="H14" s="31">
        <f t="shared" si="3"/>
        <v>3121361.0590753634</v>
      </c>
      <c r="I14" s="31">
        <f t="shared" si="3"/>
        <v>80665.475742029957</v>
      </c>
      <c r="J14" s="31">
        <f t="shared" si="3"/>
        <v>-2319334.5242579705</v>
      </c>
      <c r="K14" s="31">
        <f t="shared" si="3"/>
        <v>1042279.5193255646</v>
      </c>
      <c r="L14" s="31">
        <f t="shared" si="3"/>
        <v>1042279.5193255646</v>
      </c>
      <c r="M14" s="31">
        <f t="shared" si="3"/>
        <v>49413.019325564848</v>
      </c>
      <c r="N14" s="31">
        <f t="shared" si="3"/>
        <v>49413.019325564848</v>
      </c>
      <c r="O14" s="31">
        <f t="shared" si="3"/>
        <v>784632.22412782477</v>
      </c>
      <c r="P14" s="31">
        <f t="shared" si="3"/>
        <v>1569813.6139583334</v>
      </c>
      <c r="Q14" s="38">
        <f t="shared" si="3"/>
        <v>898111.14895833354</v>
      </c>
      <c r="R14" s="42"/>
      <c r="S14" s="42"/>
      <c r="T14" s="42"/>
    </row>
    <row r="15" spans="2:20" ht="13.05" x14ac:dyDescent="0.3">
      <c r="B15" s="20" t="s">
        <v>3</v>
      </c>
      <c r="C15" s="32">
        <f t="shared" ref="C15:Q15" si="4">C13-C12</f>
        <v>-84659.916666666672</v>
      </c>
      <c r="D15" s="32">
        <f t="shared" si="4"/>
        <v>-3111658.170702179</v>
      </c>
      <c r="E15" s="32">
        <f t="shared" si="4"/>
        <v>-6138656.4247376919</v>
      </c>
      <c r="F15" s="32">
        <f t="shared" si="4"/>
        <v>-5988278.9814815372</v>
      </c>
      <c r="G15" s="32">
        <f t="shared" si="4"/>
        <v>-5344917.9224061742</v>
      </c>
      <c r="H15" s="32">
        <f t="shared" si="4"/>
        <v>-2223556.8633308113</v>
      </c>
      <c r="I15" s="32">
        <f t="shared" si="4"/>
        <v>-2142891.3875887822</v>
      </c>
      <c r="J15" s="32">
        <f t="shared" si="4"/>
        <v>-4462225.9118467495</v>
      </c>
      <c r="K15" s="32">
        <f t="shared" si="4"/>
        <v>-3419946.3925211839</v>
      </c>
      <c r="L15" s="32">
        <f t="shared" si="4"/>
        <v>-2377666.8731956184</v>
      </c>
      <c r="M15" s="32">
        <f t="shared" si="4"/>
        <v>-2328253.8538700528</v>
      </c>
      <c r="N15" s="32">
        <f t="shared" si="4"/>
        <v>-2278840.8345444873</v>
      </c>
      <c r="O15" s="32">
        <f t="shared" si="4"/>
        <v>-1494208.6104166619</v>
      </c>
      <c r="P15" s="32">
        <f t="shared" si="4"/>
        <v>75605.00354167074</v>
      </c>
      <c r="Q15" s="39">
        <f t="shared" si="4"/>
        <v>973716.15250000358</v>
      </c>
      <c r="R15" s="43"/>
      <c r="S15" s="43"/>
      <c r="T15" s="43"/>
    </row>
    <row r="16" spans="2:20" ht="13.05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6" ht="13.05" x14ac:dyDescent="0.3">
      <c r="R17" s="6"/>
    </row>
    <row r="18" spans="1:26" ht="15" thickBot="1" x14ac:dyDescent="0.4">
      <c r="A18" s="9"/>
      <c r="B18" s="48" t="s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6"/>
      <c r="S18" s="46"/>
      <c r="T18" s="46"/>
    </row>
    <row r="19" spans="1:26" ht="13.05" x14ac:dyDescent="0.3">
      <c r="A19" s="7">
        <f>757478+12000+16343+230098</f>
        <v>1015919</v>
      </c>
      <c r="B19" s="2" t="s">
        <v>10</v>
      </c>
      <c r="C19" s="28">
        <v>84659.916666666672</v>
      </c>
      <c r="D19" s="28">
        <v>84659.916666666672</v>
      </c>
      <c r="E19" s="28">
        <v>84659.916666666672</v>
      </c>
      <c r="F19" s="28">
        <v>84659.916666666672</v>
      </c>
      <c r="G19" s="28">
        <v>84659.916666666672</v>
      </c>
      <c r="H19" s="28">
        <v>84659.916666666672</v>
      </c>
      <c r="I19" s="28">
        <v>84659.916666666672</v>
      </c>
      <c r="J19" s="28">
        <v>84659.916666666672</v>
      </c>
      <c r="K19" s="28">
        <v>84659.916666666672</v>
      </c>
      <c r="L19" s="28">
        <v>84659.916666666672</v>
      </c>
      <c r="M19" s="28">
        <v>84659.916666666672</v>
      </c>
      <c r="N19" s="28">
        <v>84659.916666666672</v>
      </c>
      <c r="O19" s="28">
        <v>0</v>
      </c>
      <c r="P19" s="28">
        <v>0</v>
      </c>
      <c r="Q19" s="28">
        <v>0</v>
      </c>
      <c r="R19" s="44"/>
      <c r="S19" s="44"/>
      <c r="T19" s="44"/>
    </row>
    <row r="20" spans="1:26" ht="13.05" x14ac:dyDescent="0.3">
      <c r="A20" s="11">
        <f>28944578-A21</f>
        <v>24944578</v>
      </c>
      <c r="B20" s="4" t="s">
        <v>11</v>
      </c>
      <c r="C20" s="27">
        <v>0</v>
      </c>
      <c r="D20" s="27">
        <v>2942338.3373688459</v>
      </c>
      <c r="E20" s="27">
        <v>2942338.3373688459</v>
      </c>
      <c r="F20" s="27">
        <v>2942338.3373688459</v>
      </c>
      <c r="G20" s="27">
        <v>2397354.7215496367</v>
      </c>
      <c r="H20" s="27">
        <v>2397354.7215496367</v>
      </c>
      <c r="I20" s="27">
        <v>2397354.7215496367</v>
      </c>
      <c r="J20" s="27">
        <v>2397354.7215496367</v>
      </c>
      <c r="K20" s="27">
        <v>1435740.6779661018</v>
      </c>
      <c r="L20" s="27">
        <v>1435740.6779661018</v>
      </c>
      <c r="M20" s="27">
        <v>1435740.6779661018</v>
      </c>
      <c r="N20" s="27">
        <v>1435740.6779661018</v>
      </c>
      <c r="O20" s="27">
        <v>785181.38983050862</v>
      </c>
      <c r="P20" s="27">
        <v>0</v>
      </c>
      <c r="Q20" s="27">
        <v>0</v>
      </c>
      <c r="R20" s="44"/>
      <c r="S20" s="44"/>
      <c r="T20" s="44"/>
    </row>
    <row r="21" spans="1:26" ht="13.05" x14ac:dyDescent="0.3">
      <c r="A21" s="33">
        <v>4000000</v>
      </c>
      <c r="B21" s="16" t="s">
        <v>15</v>
      </c>
      <c r="C21" s="22"/>
      <c r="D21" s="22"/>
      <c r="E21" s="22"/>
      <c r="F21" s="22">
        <v>1600000</v>
      </c>
      <c r="G21" s="22"/>
      <c r="H21" s="22"/>
      <c r="I21" s="22"/>
      <c r="J21" s="22">
        <v>2400000</v>
      </c>
      <c r="K21" s="22"/>
      <c r="L21" s="22"/>
      <c r="M21" s="22"/>
      <c r="N21" s="22"/>
      <c r="O21" s="22"/>
      <c r="P21" s="22"/>
      <c r="Q21" s="22"/>
      <c r="R21" s="44"/>
      <c r="S21" s="44"/>
      <c r="T21" s="44"/>
    </row>
    <row r="22" spans="1:26" ht="13.05" x14ac:dyDescent="0.3">
      <c r="A22" s="33"/>
      <c r="B22" s="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4"/>
      <c r="S22" s="44"/>
      <c r="T22" s="44"/>
    </row>
    <row r="23" spans="1:26" ht="13.05" x14ac:dyDescent="0.3">
      <c r="A23" s="33"/>
      <c r="B23" s="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4"/>
      <c r="S23" s="44"/>
      <c r="T23" s="44"/>
    </row>
    <row r="24" spans="1:26" ht="13.05" x14ac:dyDescent="0.3">
      <c r="A24" s="33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/>
      <c r="S24" s="44"/>
      <c r="T24" s="44"/>
    </row>
    <row r="25" spans="1:26" ht="13.5" thickBot="1" x14ac:dyDescent="0.35">
      <c r="A25" s="7"/>
      <c r="B25" s="25"/>
      <c r="C25" s="26">
        <f t="shared" ref="C25:I25" si="5">$A$25/7</f>
        <v>0</v>
      </c>
      <c r="D25" s="26">
        <f t="shared" si="5"/>
        <v>0</v>
      </c>
      <c r="E25" s="26">
        <f t="shared" si="5"/>
        <v>0</v>
      </c>
      <c r="F25" s="26">
        <f t="shared" si="5"/>
        <v>0</v>
      </c>
      <c r="G25" s="26">
        <f t="shared" si="5"/>
        <v>0</v>
      </c>
      <c r="H25" s="26">
        <f t="shared" si="5"/>
        <v>0</v>
      </c>
      <c r="I25" s="26">
        <f t="shared" si="5"/>
        <v>0</v>
      </c>
      <c r="J25" s="26">
        <f>$A$25/7</f>
        <v>0</v>
      </c>
      <c r="K25" s="26">
        <f t="shared" ref="K25:P25" si="6">$A$25/7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0</v>
      </c>
      <c r="Q25" s="26"/>
      <c r="R25" s="44"/>
      <c r="S25" s="44"/>
      <c r="T25" s="44"/>
    </row>
    <row r="26" spans="1:26" ht="13.5" thickTop="1" x14ac:dyDescent="0.3">
      <c r="A26" s="8">
        <f>SUM(A19:A25)</f>
        <v>29960497</v>
      </c>
      <c r="B26" s="10" t="s">
        <v>2</v>
      </c>
      <c r="C26" s="14">
        <f t="shared" ref="C26:Q26" si="7">SUM(C19:C25)</f>
        <v>84659.916666666672</v>
      </c>
      <c r="D26" s="14">
        <f t="shared" si="7"/>
        <v>3026998.2540355125</v>
      </c>
      <c r="E26" s="14">
        <f t="shared" si="7"/>
        <v>3026998.2540355125</v>
      </c>
      <c r="F26" s="14">
        <f t="shared" si="7"/>
        <v>4626998.254035512</v>
      </c>
      <c r="G26" s="14">
        <f t="shared" si="7"/>
        <v>2482014.6382163032</v>
      </c>
      <c r="H26" s="14">
        <f t="shared" si="7"/>
        <v>2482014.6382163032</v>
      </c>
      <c r="I26" s="14">
        <f t="shared" si="7"/>
        <v>2482014.6382163032</v>
      </c>
      <c r="J26" s="14">
        <f t="shared" si="7"/>
        <v>4882014.6382163037</v>
      </c>
      <c r="K26" s="14">
        <f t="shared" si="7"/>
        <v>1520400.5946327685</v>
      </c>
      <c r="L26" s="14">
        <f t="shared" si="7"/>
        <v>1520400.5946327685</v>
      </c>
      <c r="M26" s="14">
        <f t="shared" si="7"/>
        <v>1520400.5946327685</v>
      </c>
      <c r="N26" s="14">
        <f t="shared" si="7"/>
        <v>1520400.5946327685</v>
      </c>
      <c r="O26" s="14">
        <f t="shared" si="7"/>
        <v>785181.38983050862</v>
      </c>
      <c r="P26" s="14">
        <f t="shared" si="7"/>
        <v>0</v>
      </c>
      <c r="Q26" s="14">
        <f t="shared" si="7"/>
        <v>0</v>
      </c>
      <c r="R26" s="45"/>
      <c r="S26" s="45"/>
      <c r="T26" s="45"/>
    </row>
    <row r="27" spans="1:26" ht="13.05" x14ac:dyDescent="0.3">
      <c r="A27" s="8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6" ht="13.05" x14ac:dyDescent="0.3">
      <c r="A28" s="8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6" ht="15" thickBot="1" x14ac:dyDescent="0.4">
      <c r="A29" s="8"/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6"/>
      <c r="S29" s="46"/>
      <c r="T29" s="46"/>
      <c r="Z29" s="1">
        <v>29960497</v>
      </c>
    </row>
    <row r="30" spans="1:26" ht="13.05" x14ac:dyDescent="0.3">
      <c r="A30" s="8">
        <f>A19*1.0325</f>
        <v>1048936.3674999999</v>
      </c>
      <c r="B30" s="2" t="s">
        <v>7</v>
      </c>
      <c r="C30" s="28">
        <v>0</v>
      </c>
      <c r="D30" s="28">
        <v>0</v>
      </c>
      <c r="E30" s="28">
        <v>0</v>
      </c>
      <c r="F30" s="28">
        <f>$A$30/12</f>
        <v>87411.363958333328</v>
      </c>
      <c r="G30" s="28">
        <f t="shared" ref="G30:Q30" si="8">$A$30/12</f>
        <v>87411.363958333328</v>
      </c>
      <c r="H30" s="28">
        <f t="shared" si="8"/>
        <v>87411.363958333328</v>
      </c>
      <c r="I30" s="28">
        <f t="shared" si="8"/>
        <v>87411.363958333328</v>
      </c>
      <c r="J30" s="28">
        <f t="shared" si="8"/>
        <v>87411.363958333328</v>
      </c>
      <c r="K30" s="28">
        <f t="shared" si="8"/>
        <v>87411.363958333328</v>
      </c>
      <c r="L30" s="28">
        <f t="shared" si="8"/>
        <v>87411.363958333328</v>
      </c>
      <c r="M30" s="28">
        <f t="shared" si="8"/>
        <v>87411.363958333328</v>
      </c>
      <c r="N30" s="28">
        <f t="shared" si="8"/>
        <v>87411.363958333328</v>
      </c>
      <c r="O30" s="28">
        <f t="shared" si="8"/>
        <v>87411.363958333328</v>
      </c>
      <c r="P30" s="28">
        <f t="shared" si="8"/>
        <v>87411.363958333328</v>
      </c>
      <c r="Q30" s="28">
        <f t="shared" si="8"/>
        <v>87411.363958333328</v>
      </c>
      <c r="R30" s="44"/>
      <c r="S30" s="44"/>
      <c r="T30" s="44"/>
      <c r="Z30" s="1">
        <f>Z29*1.0325</f>
        <v>30934213.1525</v>
      </c>
    </row>
    <row r="31" spans="1:26" ht="13.05" x14ac:dyDescent="0.3">
      <c r="A31" s="8">
        <f>A20*(1.0325)</f>
        <v>25755276.785</v>
      </c>
      <c r="B31" s="4" t="s">
        <v>6</v>
      </c>
      <c r="C31" s="27">
        <v>0</v>
      </c>
      <c r="D31" s="27">
        <v>0</v>
      </c>
      <c r="E31" s="27">
        <v>0</v>
      </c>
      <c r="F31" s="27">
        <f>9113893/3</f>
        <v>3037964.3333333335</v>
      </c>
      <c r="G31" s="27">
        <f t="shared" ref="G31:H31" si="9">9113893/3</f>
        <v>3037964.3333333335</v>
      </c>
      <c r="H31" s="27">
        <f t="shared" si="9"/>
        <v>3037964.3333333335</v>
      </c>
      <c r="I31" s="27">
        <f>(12901075-3000000)/4</f>
        <v>2475268.75</v>
      </c>
      <c r="J31" s="27">
        <f t="shared" ref="J31:L31" si="10">(12901075-3000000)/4</f>
        <v>2475268.75</v>
      </c>
      <c r="K31" s="27">
        <f t="shared" si="10"/>
        <v>2475268.75</v>
      </c>
      <c r="L31" s="27">
        <f t="shared" si="10"/>
        <v>2475268.75</v>
      </c>
      <c r="M31" s="27">
        <f>(6929609-1000000)/4</f>
        <v>1482402.25</v>
      </c>
      <c r="N31" s="27">
        <f t="shared" ref="N31:P31" si="11">(6929609-1000000)/4</f>
        <v>1482402.25</v>
      </c>
      <c r="O31" s="27">
        <f t="shared" si="11"/>
        <v>1482402.25</v>
      </c>
      <c r="P31" s="27">
        <f t="shared" si="11"/>
        <v>1482402.25</v>
      </c>
      <c r="Q31" s="27">
        <f>A31-SUM(F31:P31)</f>
        <v>810699.78500000015</v>
      </c>
      <c r="R31" s="44"/>
      <c r="S31" s="44"/>
      <c r="T31" s="44"/>
    </row>
    <row r="32" spans="1:26" ht="13.05" x14ac:dyDescent="0.3">
      <c r="A32" s="34">
        <f>A21*1.0325</f>
        <v>4130000</v>
      </c>
      <c r="B32" s="16" t="s">
        <v>15</v>
      </c>
      <c r="C32" s="22">
        <v>0</v>
      </c>
      <c r="D32" s="22">
        <v>0</v>
      </c>
      <c r="E32" s="22">
        <f>E21</f>
        <v>0</v>
      </c>
      <c r="F32" s="22">
        <f>$A$32*0.4</f>
        <v>1652000</v>
      </c>
      <c r="G32" s="22">
        <f>G21</f>
        <v>0</v>
      </c>
      <c r="H32" s="22">
        <f>$A$32*0.6</f>
        <v>2478000</v>
      </c>
      <c r="I32" s="22">
        <v>0</v>
      </c>
      <c r="J32" s="22">
        <v>0</v>
      </c>
      <c r="K32" s="22">
        <v>0</v>
      </c>
      <c r="L32" s="22">
        <v>0</v>
      </c>
      <c r="M32" s="22">
        <f>M21</f>
        <v>0</v>
      </c>
      <c r="N32" s="22">
        <f>N21</f>
        <v>0</v>
      </c>
      <c r="O32" s="22">
        <f>O21</f>
        <v>0</v>
      </c>
      <c r="P32" s="22">
        <f>P21</f>
        <v>0</v>
      </c>
      <c r="Q32" s="22">
        <f>Q21</f>
        <v>0</v>
      </c>
      <c r="R32" s="44"/>
      <c r="S32" s="44"/>
      <c r="T32" s="44"/>
    </row>
    <row r="33" spans="1:20" ht="13.05" x14ac:dyDescent="0.3">
      <c r="A33" s="34"/>
      <c r="B33" s="3"/>
      <c r="C33" s="23">
        <v>0</v>
      </c>
      <c r="D33" s="23">
        <f>D22</f>
        <v>0</v>
      </c>
      <c r="E33" s="23">
        <f>E22</f>
        <v>0</v>
      </c>
      <c r="F33" s="23">
        <f>F22</f>
        <v>0</v>
      </c>
      <c r="G33" s="23">
        <f>G22</f>
        <v>0</v>
      </c>
      <c r="H33" s="23">
        <f>H22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f>Q22</f>
        <v>0</v>
      </c>
      <c r="R33" s="44"/>
      <c r="S33" s="44"/>
      <c r="T33" s="44"/>
    </row>
    <row r="34" spans="1:20" ht="13.05" x14ac:dyDescent="0.3">
      <c r="A34" s="34"/>
      <c r="B34" s="3"/>
      <c r="C34" s="23">
        <v>0</v>
      </c>
      <c r="D34" s="23">
        <f>D23</f>
        <v>0</v>
      </c>
      <c r="E34" s="23">
        <f>E23</f>
        <v>0</v>
      </c>
      <c r="F34" s="23">
        <f>F23</f>
        <v>0</v>
      </c>
      <c r="G34" s="23">
        <f>G23</f>
        <v>0</v>
      </c>
      <c r="H34" s="23">
        <f>H23</f>
        <v>0</v>
      </c>
      <c r="I34" s="23">
        <v>0</v>
      </c>
      <c r="J34" s="23">
        <f t="shared" ref="J34:P34" si="12">J23</f>
        <v>0</v>
      </c>
      <c r="K34" s="23">
        <f t="shared" si="12"/>
        <v>0</v>
      </c>
      <c r="L34" s="23">
        <f t="shared" si="12"/>
        <v>0</v>
      </c>
      <c r="M34" s="23">
        <f t="shared" si="12"/>
        <v>0</v>
      </c>
      <c r="N34" s="23">
        <f t="shared" si="12"/>
        <v>0</v>
      </c>
      <c r="O34" s="23">
        <f t="shared" si="12"/>
        <v>0</v>
      </c>
      <c r="P34" s="23">
        <f t="shared" si="12"/>
        <v>0</v>
      </c>
      <c r="Q34" s="23">
        <f>Q23</f>
        <v>0</v>
      </c>
      <c r="R34" s="44"/>
      <c r="S34" s="44"/>
      <c r="T34" s="44"/>
    </row>
    <row r="35" spans="1:20" ht="13.05" x14ac:dyDescent="0.3">
      <c r="A35" s="34"/>
      <c r="B35" s="19"/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44"/>
      <c r="S35" s="44"/>
      <c r="T35" s="44"/>
    </row>
    <row r="36" spans="1:20" ht="13.5" thickBot="1" x14ac:dyDescent="0.35">
      <c r="A36" s="8"/>
      <c r="B36" s="25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44"/>
      <c r="S36" s="44"/>
      <c r="T36" s="44"/>
    </row>
    <row r="37" spans="1:20" ht="13.5" thickTop="1" x14ac:dyDescent="0.3">
      <c r="A37" s="8">
        <f>SUM(C37:T37)</f>
        <v>30934213.152499996</v>
      </c>
      <c r="B37" s="10" t="s">
        <v>2</v>
      </c>
      <c r="C37" s="14">
        <f t="shared" ref="C37:Q37" si="13">SUM(C30:C36)</f>
        <v>0</v>
      </c>
      <c r="D37" s="14">
        <f t="shared" si="13"/>
        <v>0</v>
      </c>
      <c r="E37" s="14">
        <f t="shared" si="13"/>
        <v>0</v>
      </c>
      <c r="F37" s="14">
        <f t="shared" si="13"/>
        <v>4777375.6972916666</v>
      </c>
      <c r="G37" s="14">
        <f t="shared" si="13"/>
        <v>3125375.6972916666</v>
      </c>
      <c r="H37" s="14">
        <f t="shared" si="13"/>
        <v>5603375.6972916666</v>
      </c>
      <c r="I37" s="14">
        <f t="shared" si="13"/>
        <v>2562680.1139583332</v>
      </c>
      <c r="J37" s="14">
        <f t="shared" si="13"/>
        <v>2562680.1139583332</v>
      </c>
      <c r="K37" s="14">
        <f t="shared" si="13"/>
        <v>2562680.1139583332</v>
      </c>
      <c r="L37" s="14">
        <f t="shared" si="13"/>
        <v>2562680.1139583332</v>
      </c>
      <c r="M37" s="14">
        <f t="shared" si="13"/>
        <v>1569813.6139583334</v>
      </c>
      <c r="N37" s="14">
        <f t="shared" si="13"/>
        <v>1569813.6139583334</v>
      </c>
      <c r="O37" s="14">
        <f t="shared" si="13"/>
        <v>1569813.6139583334</v>
      </c>
      <c r="P37" s="14">
        <f t="shared" si="13"/>
        <v>1569813.6139583334</v>
      </c>
      <c r="Q37" s="14">
        <f t="shared" si="13"/>
        <v>898111.14895833354</v>
      </c>
      <c r="R37" s="45"/>
      <c r="S37" s="45"/>
      <c r="T37" s="45"/>
    </row>
    <row r="38" spans="1:20" ht="13.05" x14ac:dyDescent="0.3">
      <c r="A38" s="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mergeCells count="6">
    <mergeCell ref="B29:Q29"/>
    <mergeCell ref="B2:T8"/>
    <mergeCell ref="D10:L10"/>
    <mergeCell ref="M10:N10"/>
    <mergeCell ref="O10:P10"/>
    <mergeCell ref="B18:Q18"/>
  </mergeCells>
  <pageMargins left="0.7" right="0.7" top="0.75" bottom="0.75" header="0.3" footer="0.3"/>
  <pageSetup paperSize="142" scale="2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Curve 1 month lag</vt:lpstr>
      <vt:lpstr>Cash Curve 4 month 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Young</dc:creator>
  <cp:lastModifiedBy>Clay Young</cp:lastModifiedBy>
  <cp:lastPrinted>2015-04-03T23:08:40Z</cp:lastPrinted>
  <dcterms:created xsi:type="dcterms:W3CDTF">2015-04-01T13:40:48Z</dcterms:created>
  <dcterms:modified xsi:type="dcterms:W3CDTF">2024-02-02T21:44:08Z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